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codeName="현재_통합_문서1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F14BF327-BFEE-480C-B6AB-3A496A6C4538}" xr6:coauthVersionLast="36" xr6:coauthVersionMax="36" xr10:uidLastSave="{00000000-0000-0000-0000-000000000000}"/>
  <bookViews>
    <workbookView xWindow="0" yWindow="0" windowWidth="19200" windowHeight="10800" xr2:uid="{00000000-000D-0000-FFFF-FFFF00000000}"/>
  </bookViews>
  <sheets>
    <sheet name="수종별재적표" sheetId="1" r:id="rId1"/>
    <sheet name="시가" sheetId="2" r:id="rId2"/>
    <sheet name="기본자료" sheetId="3" r:id="rId3"/>
    <sheet name="운반비산출" sheetId="5" r:id="rId4"/>
    <sheet name="적용시장산출" sheetId="6" r:id="rId5"/>
    <sheet name="평균시가" sheetId="7" r:id="rId6"/>
    <sheet name="사정표" sheetId="8" r:id="rId7"/>
    <sheet name="공시목" sheetId="9" r:id="rId8"/>
    <sheet name="평균단가" sheetId="11" r:id="rId9"/>
    <sheet name="집재공정" sheetId="4" state="hidden" r:id="rId10"/>
  </sheets>
  <definedNames>
    <definedName name="_xlnm.Print_Area" localSheetId="7">공시목!$A$1:$E$26</definedName>
    <definedName name="_xlnm.Print_Area" localSheetId="2">기본자료!$A$1:$I$111</definedName>
    <definedName name="_xlnm.Print_Area" localSheetId="6">사정표!$A$1:$N$105</definedName>
    <definedName name="_xlnm.Print_Area" localSheetId="0">수종별재적표!$A$1:$I$34</definedName>
    <definedName name="_xlnm.Print_Area" localSheetId="1">시가!$A$1:$S$151</definedName>
    <definedName name="_xlnm.Print_Area" localSheetId="3">운반비산출!$A$1:$G$67</definedName>
    <definedName name="_xlnm.Print_Area" localSheetId="4">적용시장산출!$A$1:$K$257</definedName>
    <definedName name="_xlnm.Print_Area" localSheetId="8">평균단가!$A$1:$H$28</definedName>
    <definedName name="집재표2">집재공정!$A$6:$J$9</definedName>
    <definedName name="집재표3">집재공정!$A$13:$J$16</definedName>
    <definedName name="집재표4">집재공정!$A$20:$J$23</definedName>
  </definedNames>
  <calcPr calcId="191029"/>
</workbook>
</file>

<file path=xl/calcChain.xml><?xml version="1.0" encoding="utf-8"?>
<calcChain xmlns="http://schemas.openxmlformats.org/spreadsheetml/2006/main">
  <c r="C28" i="11" l="1"/>
  <c r="B28" i="11"/>
  <c r="E28" i="11" s="1"/>
  <c r="C27" i="11"/>
  <c r="B27" i="11"/>
  <c r="E27" i="11" s="1"/>
  <c r="C26" i="11"/>
  <c r="B26" i="11"/>
  <c r="E26" i="11" s="1"/>
  <c r="C25" i="11"/>
  <c r="B25" i="11"/>
  <c r="E25" i="11" s="1"/>
  <c r="C24" i="11"/>
  <c r="B24" i="11"/>
  <c r="C23" i="11"/>
  <c r="B23" i="11"/>
  <c r="E23" i="11" s="1"/>
  <c r="C22" i="11"/>
  <c r="B22" i="11"/>
  <c r="E22" i="11" s="1"/>
  <c r="C21" i="11"/>
  <c r="B21" i="11"/>
  <c r="C20" i="11"/>
  <c r="B20" i="11"/>
  <c r="E20" i="11" s="1"/>
  <c r="C19" i="11"/>
  <c r="B19" i="11"/>
  <c r="E19" i="11" s="1"/>
  <c r="C18" i="11"/>
  <c r="B18" i="11"/>
  <c r="C17" i="11"/>
  <c r="B17" i="11"/>
  <c r="E17" i="11" s="1"/>
  <c r="C16" i="11"/>
  <c r="B16" i="11"/>
  <c r="E16" i="11" s="1"/>
  <c r="C15" i="11"/>
  <c r="B15" i="11"/>
  <c r="C14" i="11"/>
  <c r="B14" i="11"/>
  <c r="C13" i="11"/>
  <c r="B13" i="11"/>
  <c r="A14" i="11" s="1"/>
  <c r="C12" i="11"/>
  <c r="B12" i="11"/>
  <c r="C11" i="11"/>
  <c r="B11" i="11"/>
  <c r="C10" i="11"/>
  <c r="B10" i="11"/>
  <c r="C9" i="11"/>
  <c r="B9" i="11"/>
  <c r="A9" i="11"/>
  <c r="B3" i="11"/>
  <c r="B26" i="9"/>
  <c r="A26" i="9"/>
  <c r="C26" i="9" s="1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E7" i="9"/>
  <c r="A24" i="9" s="1"/>
  <c r="B3" i="9"/>
  <c r="G99" i="8"/>
  <c r="B99" i="8"/>
  <c r="K98" i="8"/>
  <c r="G98" i="8"/>
  <c r="B98" i="8"/>
  <c r="O94" i="8"/>
  <c r="M99" i="8" s="1"/>
  <c r="E100" i="8" s="1"/>
  <c r="G94" i="8"/>
  <c r="I94" i="8" s="1"/>
  <c r="G92" i="8"/>
  <c r="E92" i="8" s="1"/>
  <c r="I84" i="8"/>
  <c r="E84" i="8"/>
  <c r="B84" i="8"/>
  <c r="I82" i="8"/>
  <c r="M78" i="8"/>
  <c r="K78" i="8"/>
  <c r="J78" i="8"/>
  <c r="E78" i="8"/>
  <c r="I78" i="8" s="1"/>
  <c r="M77" i="8"/>
  <c r="K77" i="8"/>
  <c r="J77" i="8"/>
  <c r="E77" i="8"/>
  <c r="I77" i="8" s="1"/>
  <c r="M76" i="8"/>
  <c r="K76" i="8"/>
  <c r="J76" i="8"/>
  <c r="E76" i="8"/>
  <c r="I76" i="8" s="1"/>
  <c r="M75" i="8"/>
  <c r="K75" i="8"/>
  <c r="J75" i="8"/>
  <c r="E75" i="8"/>
  <c r="I75" i="8" s="1"/>
  <c r="M74" i="8"/>
  <c r="K74" i="8"/>
  <c r="J74" i="8"/>
  <c r="E74" i="8"/>
  <c r="I74" i="8" s="1"/>
  <c r="M73" i="8"/>
  <c r="K73" i="8"/>
  <c r="J73" i="8"/>
  <c r="E73" i="8"/>
  <c r="I73" i="8" s="1"/>
  <c r="M72" i="8"/>
  <c r="K72" i="8"/>
  <c r="J72" i="8"/>
  <c r="E72" i="8"/>
  <c r="I72" i="8" s="1"/>
  <c r="M71" i="8"/>
  <c r="K71" i="8"/>
  <c r="J71" i="8"/>
  <c r="E71" i="8"/>
  <c r="I71" i="8" s="1"/>
  <c r="M70" i="8"/>
  <c r="K70" i="8"/>
  <c r="J70" i="8"/>
  <c r="E70" i="8"/>
  <c r="I70" i="8" s="1"/>
  <c r="M69" i="8"/>
  <c r="K69" i="8"/>
  <c r="J69" i="8"/>
  <c r="E69" i="8"/>
  <c r="I69" i="8" s="1"/>
  <c r="M68" i="8"/>
  <c r="K68" i="8"/>
  <c r="J68" i="8"/>
  <c r="E68" i="8"/>
  <c r="I68" i="8" s="1"/>
  <c r="M67" i="8"/>
  <c r="K67" i="8"/>
  <c r="J67" i="8"/>
  <c r="E67" i="8"/>
  <c r="I67" i="8" s="1"/>
  <c r="M66" i="8"/>
  <c r="K66" i="8"/>
  <c r="J66" i="8"/>
  <c r="E66" i="8"/>
  <c r="I66" i="8" s="1"/>
  <c r="O65" i="8"/>
  <c r="K65" i="8"/>
  <c r="J65" i="8"/>
  <c r="E65" i="8"/>
  <c r="O64" i="8"/>
  <c r="K64" i="8"/>
  <c r="J64" i="8"/>
  <c r="E64" i="8"/>
  <c r="O63" i="8"/>
  <c r="K63" i="8"/>
  <c r="J63" i="8"/>
  <c r="E63" i="8"/>
  <c r="O62" i="8"/>
  <c r="K62" i="8"/>
  <c r="J62" i="8"/>
  <c r="E62" i="8"/>
  <c r="O61" i="8"/>
  <c r="K61" i="8"/>
  <c r="J61" i="8"/>
  <c r="E61" i="8"/>
  <c r="O60" i="8"/>
  <c r="K60" i="8"/>
  <c r="J60" i="8"/>
  <c r="E60" i="8"/>
  <c r="O59" i="8"/>
  <c r="K59" i="8"/>
  <c r="J59" i="8"/>
  <c r="E59" i="8"/>
  <c r="H57" i="8"/>
  <c r="H56" i="8"/>
  <c r="G56" i="8"/>
  <c r="I56" i="8" s="1"/>
  <c r="H55" i="8"/>
  <c r="G55" i="8"/>
  <c r="I55" i="8" s="1"/>
  <c r="H53" i="8"/>
  <c r="H52" i="8"/>
  <c r="H51" i="8"/>
  <c r="P49" i="8"/>
  <c r="J49" i="8"/>
  <c r="H49" i="8"/>
  <c r="G49" i="8"/>
  <c r="I49" i="8" s="1"/>
  <c r="H47" i="8"/>
  <c r="H46" i="8"/>
  <c r="H45" i="8"/>
  <c r="G45" i="8"/>
  <c r="G46" i="8" s="1"/>
  <c r="G47" i="8" s="1"/>
  <c r="O47" i="8" s="1"/>
  <c r="P47" i="8" s="1"/>
  <c r="D40" i="8"/>
  <c r="B39" i="8"/>
  <c r="B38" i="8"/>
  <c r="B34" i="8"/>
  <c r="B33" i="8"/>
  <c r="B32" i="8"/>
  <c r="N29" i="8"/>
  <c r="M29" i="8"/>
  <c r="L29" i="8"/>
  <c r="K29" i="8"/>
  <c r="J29" i="8"/>
  <c r="I29" i="8"/>
  <c r="H29" i="8"/>
  <c r="E29" i="8"/>
  <c r="D29" i="8"/>
  <c r="N28" i="8"/>
  <c r="M28" i="8"/>
  <c r="L28" i="8"/>
  <c r="K28" i="8"/>
  <c r="J28" i="8"/>
  <c r="I28" i="8"/>
  <c r="H28" i="8"/>
  <c r="E28" i="8"/>
  <c r="D28" i="8"/>
  <c r="N27" i="8"/>
  <c r="M27" i="8"/>
  <c r="L27" i="8"/>
  <c r="K27" i="8"/>
  <c r="J27" i="8"/>
  <c r="I27" i="8"/>
  <c r="H27" i="8"/>
  <c r="E27" i="8"/>
  <c r="D27" i="8"/>
  <c r="N26" i="8"/>
  <c r="D28" i="11" s="1"/>
  <c r="M26" i="8"/>
  <c r="L26" i="8"/>
  <c r="K26" i="8"/>
  <c r="J26" i="8"/>
  <c r="I26" i="8"/>
  <c r="H26" i="8"/>
  <c r="E26" i="8"/>
  <c r="D26" i="8"/>
  <c r="N25" i="8"/>
  <c r="D27" i="11" s="1"/>
  <c r="M25" i="8"/>
  <c r="L25" i="8"/>
  <c r="K25" i="8"/>
  <c r="J25" i="8"/>
  <c r="I25" i="8"/>
  <c r="H25" i="8"/>
  <c r="E25" i="8"/>
  <c r="D25" i="8"/>
  <c r="N24" i="8"/>
  <c r="D26" i="11" s="1"/>
  <c r="M24" i="8"/>
  <c r="L24" i="8"/>
  <c r="K24" i="8"/>
  <c r="J24" i="8"/>
  <c r="I24" i="8"/>
  <c r="H24" i="8"/>
  <c r="E24" i="8"/>
  <c r="D24" i="8"/>
  <c r="N23" i="8"/>
  <c r="D25" i="11" s="1"/>
  <c r="M23" i="8"/>
  <c r="L23" i="8"/>
  <c r="K23" i="8"/>
  <c r="J23" i="8"/>
  <c r="I23" i="8"/>
  <c r="H23" i="8"/>
  <c r="E23" i="8"/>
  <c r="D23" i="8"/>
  <c r="N22" i="8"/>
  <c r="D24" i="11" s="1"/>
  <c r="M22" i="8"/>
  <c r="L22" i="8"/>
  <c r="K22" i="8"/>
  <c r="J22" i="8"/>
  <c r="I22" i="8"/>
  <c r="H22" i="8"/>
  <c r="E22" i="8"/>
  <c r="D22" i="8"/>
  <c r="N21" i="8"/>
  <c r="D23" i="11" s="1"/>
  <c r="M21" i="8"/>
  <c r="L21" i="8"/>
  <c r="K21" i="8"/>
  <c r="J21" i="8"/>
  <c r="I21" i="8"/>
  <c r="H21" i="8"/>
  <c r="E21" i="8"/>
  <c r="D21" i="8"/>
  <c r="N20" i="8"/>
  <c r="D22" i="11" s="1"/>
  <c r="M20" i="8"/>
  <c r="L20" i="8"/>
  <c r="K20" i="8"/>
  <c r="J20" i="8"/>
  <c r="I20" i="8"/>
  <c r="H20" i="8"/>
  <c r="E20" i="8"/>
  <c r="D20" i="8"/>
  <c r="N19" i="8"/>
  <c r="D21" i="11" s="1"/>
  <c r="M19" i="8"/>
  <c r="L19" i="8"/>
  <c r="K19" i="8"/>
  <c r="J19" i="8"/>
  <c r="I19" i="8"/>
  <c r="H19" i="8"/>
  <c r="E19" i="8"/>
  <c r="D19" i="8"/>
  <c r="N18" i="8"/>
  <c r="D20" i="11" s="1"/>
  <c r="M18" i="8"/>
  <c r="L18" i="8"/>
  <c r="K18" i="8"/>
  <c r="J18" i="8"/>
  <c r="I18" i="8"/>
  <c r="H18" i="8"/>
  <c r="E18" i="8"/>
  <c r="D18" i="8"/>
  <c r="N17" i="8"/>
  <c r="D19" i="11" s="1"/>
  <c r="M17" i="8"/>
  <c r="L17" i="8"/>
  <c r="K17" i="8"/>
  <c r="J17" i="8"/>
  <c r="I17" i="8"/>
  <c r="H17" i="8"/>
  <c r="E17" i="8"/>
  <c r="D17" i="8"/>
  <c r="N16" i="8"/>
  <c r="D18" i="11" s="1"/>
  <c r="M16" i="8"/>
  <c r="L16" i="8"/>
  <c r="K16" i="8"/>
  <c r="J16" i="8"/>
  <c r="I16" i="8"/>
  <c r="H16" i="8"/>
  <c r="E16" i="8"/>
  <c r="D16" i="8"/>
  <c r="N15" i="8"/>
  <c r="D17" i="11" s="1"/>
  <c r="M15" i="8"/>
  <c r="L15" i="8"/>
  <c r="K15" i="8"/>
  <c r="J15" i="8"/>
  <c r="I15" i="8"/>
  <c r="H15" i="8"/>
  <c r="E15" i="8"/>
  <c r="D15" i="8"/>
  <c r="N14" i="8"/>
  <c r="D16" i="11" s="1"/>
  <c r="M14" i="8"/>
  <c r="L14" i="8"/>
  <c r="K14" i="8"/>
  <c r="J14" i="8"/>
  <c r="I14" i="8"/>
  <c r="H14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E7" i="8"/>
  <c r="D7" i="8"/>
  <c r="D3" i="8"/>
  <c r="N141" i="7"/>
  <c r="K141" i="7"/>
  <c r="M141" i="7" s="1"/>
  <c r="N140" i="7"/>
  <c r="K140" i="7"/>
  <c r="M140" i="7" s="1"/>
  <c r="N139" i="7"/>
  <c r="K139" i="7"/>
  <c r="N138" i="7"/>
  <c r="K138" i="7"/>
  <c r="M139" i="7" s="1"/>
  <c r="N137" i="7"/>
  <c r="K137" i="7"/>
  <c r="M137" i="7" s="1"/>
  <c r="N136" i="7"/>
  <c r="K136" i="7"/>
  <c r="M136" i="7" s="1"/>
  <c r="N135" i="7"/>
  <c r="K135" i="7"/>
  <c r="N134" i="7"/>
  <c r="K134" i="7"/>
  <c r="M135" i="7" s="1"/>
  <c r="N133" i="7"/>
  <c r="K133" i="7"/>
  <c r="M133" i="7" s="1"/>
  <c r="N132" i="7"/>
  <c r="K132" i="7"/>
  <c r="M132" i="7" s="1"/>
  <c r="N131" i="7"/>
  <c r="K131" i="7"/>
  <c r="N130" i="7"/>
  <c r="M130" i="7"/>
  <c r="K130" i="7"/>
  <c r="M131" i="7" s="1"/>
  <c r="N129" i="7"/>
  <c r="K129" i="7"/>
  <c r="M129" i="7" s="1"/>
  <c r="N128" i="7"/>
  <c r="K128" i="7"/>
  <c r="M128" i="7" s="1"/>
  <c r="N127" i="7"/>
  <c r="K127" i="7"/>
  <c r="N126" i="7"/>
  <c r="M126" i="7"/>
  <c r="K126" i="7"/>
  <c r="M127" i="7" s="1"/>
  <c r="N125" i="7"/>
  <c r="K125" i="7"/>
  <c r="M125" i="7" s="1"/>
  <c r="N124" i="7"/>
  <c r="K124" i="7"/>
  <c r="M124" i="7" s="1"/>
  <c r="N123" i="7"/>
  <c r="K123" i="7"/>
  <c r="N122" i="7"/>
  <c r="K122" i="7"/>
  <c r="M123" i="7" s="1"/>
  <c r="N121" i="7"/>
  <c r="K121" i="7"/>
  <c r="M121" i="7" s="1"/>
  <c r="N120" i="7"/>
  <c r="K120" i="7"/>
  <c r="M120" i="7" s="1"/>
  <c r="N119" i="7"/>
  <c r="K119" i="7"/>
  <c r="N118" i="7"/>
  <c r="K118" i="7"/>
  <c r="M119" i="7" s="1"/>
  <c r="N117" i="7"/>
  <c r="K117" i="7"/>
  <c r="M117" i="7" s="1"/>
  <c r="N116" i="7"/>
  <c r="K116" i="7"/>
  <c r="M116" i="7" s="1"/>
  <c r="N115" i="7"/>
  <c r="K115" i="7"/>
  <c r="N114" i="7"/>
  <c r="M114" i="7"/>
  <c r="K114" i="7"/>
  <c r="M115" i="7" s="1"/>
  <c r="N113" i="7"/>
  <c r="K113" i="7"/>
  <c r="M113" i="7" s="1"/>
  <c r="N112" i="7"/>
  <c r="K112" i="7"/>
  <c r="M112" i="7" s="1"/>
  <c r="N111" i="7"/>
  <c r="K111" i="7"/>
  <c r="N110" i="7"/>
  <c r="M110" i="7"/>
  <c r="K110" i="7"/>
  <c r="M111" i="7" s="1"/>
  <c r="N109" i="7"/>
  <c r="K109" i="7"/>
  <c r="M109" i="7" s="1"/>
  <c r="N108" i="7"/>
  <c r="K108" i="7"/>
  <c r="M108" i="7" s="1"/>
  <c r="N107" i="7"/>
  <c r="K107" i="7"/>
  <c r="N106" i="7"/>
  <c r="K106" i="7"/>
  <c r="M107" i="7" s="1"/>
  <c r="N105" i="7"/>
  <c r="K105" i="7"/>
  <c r="M105" i="7" s="1"/>
  <c r="N104" i="7"/>
  <c r="K104" i="7"/>
  <c r="M104" i="7" s="1"/>
  <c r="N103" i="7"/>
  <c r="K103" i="7"/>
  <c r="N102" i="7"/>
  <c r="K102" i="7"/>
  <c r="M103" i="7" s="1"/>
  <c r="N101" i="7"/>
  <c r="K101" i="7"/>
  <c r="M101" i="7" s="1"/>
  <c r="N100" i="7"/>
  <c r="K100" i="7"/>
  <c r="M100" i="7" s="1"/>
  <c r="N99" i="7"/>
  <c r="K99" i="7"/>
  <c r="N98" i="7"/>
  <c r="M98" i="7"/>
  <c r="K98" i="7"/>
  <c r="M99" i="7" s="1"/>
  <c r="N97" i="7"/>
  <c r="K97" i="7"/>
  <c r="M97" i="7" s="1"/>
  <c r="N96" i="7"/>
  <c r="K96" i="7"/>
  <c r="M96" i="7" s="1"/>
  <c r="N95" i="7"/>
  <c r="K95" i="7"/>
  <c r="N94" i="7"/>
  <c r="M94" i="7"/>
  <c r="K94" i="7"/>
  <c r="M95" i="7" s="1"/>
  <c r="N93" i="7"/>
  <c r="K93" i="7"/>
  <c r="M93" i="7" s="1"/>
  <c r="N92" i="7"/>
  <c r="K92" i="7"/>
  <c r="M92" i="7" s="1"/>
  <c r="N91" i="7"/>
  <c r="K91" i="7"/>
  <c r="N90" i="7"/>
  <c r="K90" i="7"/>
  <c r="M91" i="7" s="1"/>
  <c r="N89" i="7"/>
  <c r="K89" i="7"/>
  <c r="M89" i="7" s="1"/>
  <c r="N88" i="7"/>
  <c r="K88" i="7"/>
  <c r="M88" i="7" s="1"/>
  <c r="N87" i="7"/>
  <c r="K87" i="7"/>
  <c r="N86" i="7"/>
  <c r="M86" i="7"/>
  <c r="K86" i="7"/>
  <c r="M87" i="7" s="1"/>
  <c r="N85" i="7"/>
  <c r="K85" i="7"/>
  <c r="M85" i="7" s="1"/>
  <c r="N84" i="7"/>
  <c r="K84" i="7"/>
  <c r="M84" i="7" s="1"/>
  <c r="N83" i="7"/>
  <c r="K83" i="7"/>
  <c r="N82" i="7"/>
  <c r="M82" i="7"/>
  <c r="K82" i="7"/>
  <c r="M83" i="7" s="1"/>
  <c r="N81" i="7"/>
  <c r="K81" i="7"/>
  <c r="M81" i="7" s="1"/>
  <c r="N80" i="7"/>
  <c r="K80" i="7"/>
  <c r="M80" i="7" s="1"/>
  <c r="N79" i="7"/>
  <c r="K79" i="7"/>
  <c r="N78" i="7"/>
  <c r="M78" i="7"/>
  <c r="K78" i="7"/>
  <c r="M79" i="7" s="1"/>
  <c r="N77" i="7"/>
  <c r="K77" i="7"/>
  <c r="M77" i="7" s="1"/>
  <c r="N76" i="7"/>
  <c r="K76" i="7"/>
  <c r="M76" i="7" s="1"/>
  <c r="N75" i="7"/>
  <c r="K75" i="7"/>
  <c r="N74" i="7"/>
  <c r="K74" i="7"/>
  <c r="M75" i="7" s="1"/>
  <c r="N73" i="7"/>
  <c r="K73" i="7"/>
  <c r="M73" i="7" s="1"/>
  <c r="N72" i="7"/>
  <c r="K72" i="7"/>
  <c r="M72" i="7" s="1"/>
  <c r="N71" i="7"/>
  <c r="K71" i="7"/>
  <c r="N70" i="7"/>
  <c r="K70" i="7"/>
  <c r="M71" i="7" s="1"/>
  <c r="N69" i="7"/>
  <c r="K69" i="7"/>
  <c r="M69" i="7" s="1"/>
  <c r="N68" i="7"/>
  <c r="K68" i="7"/>
  <c r="M68" i="7" s="1"/>
  <c r="N67" i="7"/>
  <c r="K67" i="7"/>
  <c r="N66" i="7"/>
  <c r="M66" i="7"/>
  <c r="K66" i="7"/>
  <c r="M67" i="7" s="1"/>
  <c r="N65" i="7"/>
  <c r="K65" i="7"/>
  <c r="M65" i="7" s="1"/>
  <c r="N64" i="7"/>
  <c r="K64" i="7"/>
  <c r="M64" i="7" s="1"/>
  <c r="N63" i="7"/>
  <c r="K63" i="7"/>
  <c r="N62" i="7"/>
  <c r="M62" i="7"/>
  <c r="K62" i="7"/>
  <c r="M63" i="7" s="1"/>
  <c r="N61" i="7"/>
  <c r="K61" i="7"/>
  <c r="M61" i="7" s="1"/>
  <c r="N60" i="7"/>
  <c r="K60" i="7"/>
  <c r="M60" i="7" s="1"/>
  <c r="N59" i="7"/>
  <c r="K59" i="7"/>
  <c r="N58" i="7"/>
  <c r="K58" i="7"/>
  <c r="M59" i="7" s="1"/>
  <c r="N57" i="7"/>
  <c r="K57" i="7"/>
  <c r="M57" i="7" s="1"/>
  <c r="N56" i="7"/>
  <c r="K56" i="7"/>
  <c r="M56" i="7" s="1"/>
  <c r="N55" i="7"/>
  <c r="K55" i="7"/>
  <c r="N54" i="7"/>
  <c r="K54" i="7"/>
  <c r="M55" i="7" s="1"/>
  <c r="N53" i="7"/>
  <c r="K53" i="7"/>
  <c r="M54" i="7" s="1"/>
  <c r="N52" i="7"/>
  <c r="K52" i="7"/>
  <c r="M52" i="7" s="1"/>
  <c r="N51" i="7"/>
  <c r="K51" i="7"/>
  <c r="N50" i="7"/>
  <c r="K50" i="7"/>
  <c r="M51" i="7" s="1"/>
  <c r="N49" i="7"/>
  <c r="K49" i="7"/>
  <c r="M49" i="7" s="1"/>
  <c r="N48" i="7"/>
  <c r="K48" i="7"/>
  <c r="M48" i="7" s="1"/>
  <c r="N47" i="7"/>
  <c r="K47" i="7"/>
  <c r="N46" i="7"/>
  <c r="K46" i="7"/>
  <c r="M47" i="7" s="1"/>
  <c r="N45" i="7"/>
  <c r="M45" i="7"/>
  <c r="K45" i="7"/>
  <c r="M46" i="7" s="1"/>
  <c r="N44" i="7"/>
  <c r="K44" i="7"/>
  <c r="M44" i="7" s="1"/>
  <c r="N43" i="7"/>
  <c r="K43" i="7"/>
  <c r="N42" i="7"/>
  <c r="K42" i="7"/>
  <c r="M43" i="7" s="1"/>
  <c r="N41" i="7"/>
  <c r="K41" i="7"/>
  <c r="M41" i="7" s="1"/>
  <c r="N40" i="7"/>
  <c r="K40" i="7"/>
  <c r="M40" i="7" s="1"/>
  <c r="N39" i="7"/>
  <c r="K39" i="7"/>
  <c r="N38" i="7"/>
  <c r="K38" i="7"/>
  <c r="M39" i="7" s="1"/>
  <c r="N37" i="7"/>
  <c r="M37" i="7"/>
  <c r="K37" i="7"/>
  <c r="M38" i="7" s="1"/>
  <c r="N36" i="7"/>
  <c r="K36" i="7"/>
  <c r="M36" i="7" s="1"/>
  <c r="N35" i="7"/>
  <c r="K35" i="7"/>
  <c r="N34" i="7"/>
  <c r="K34" i="7"/>
  <c r="M35" i="7" s="1"/>
  <c r="N33" i="7"/>
  <c r="K33" i="7"/>
  <c r="M34" i="7" s="1"/>
  <c r="N32" i="7"/>
  <c r="K32" i="7"/>
  <c r="M32" i="7" s="1"/>
  <c r="N31" i="7"/>
  <c r="K31" i="7"/>
  <c r="N30" i="7"/>
  <c r="K30" i="7"/>
  <c r="M31" i="7" s="1"/>
  <c r="N29" i="7"/>
  <c r="M29" i="7"/>
  <c r="K29" i="7"/>
  <c r="M30" i="7" s="1"/>
  <c r="N28" i="7"/>
  <c r="K28" i="7"/>
  <c r="M28" i="7" s="1"/>
  <c r="N27" i="7"/>
  <c r="K27" i="7"/>
  <c r="N26" i="7"/>
  <c r="K26" i="7"/>
  <c r="M27" i="7" s="1"/>
  <c r="N25" i="7"/>
  <c r="K25" i="7"/>
  <c r="M26" i="7" s="1"/>
  <c r="N24" i="7"/>
  <c r="K24" i="7"/>
  <c r="M24" i="7" s="1"/>
  <c r="N23" i="7"/>
  <c r="K23" i="7"/>
  <c r="N22" i="7"/>
  <c r="K22" i="7"/>
  <c r="M23" i="7" s="1"/>
  <c r="N21" i="7"/>
  <c r="M21" i="7"/>
  <c r="K21" i="7"/>
  <c r="M22" i="7" s="1"/>
  <c r="N20" i="7"/>
  <c r="K20" i="7"/>
  <c r="M20" i="7" s="1"/>
  <c r="N19" i="7"/>
  <c r="K19" i="7"/>
  <c r="N18" i="7"/>
  <c r="K18" i="7"/>
  <c r="M19" i="7" s="1"/>
  <c r="N17" i="7"/>
  <c r="K17" i="7"/>
  <c r="M17" i="7" s="1"/>
  <c r="N16" i="7"/>
  <c r="K16" i="7"/>
  <c r="M16" i="7" s="1"/>
  <c r="N15" i="7"/>
  <c r="K15" i="7"/>
  <c r="N14" i="7"/>
  <c r="K14" i="7"/>
  <c r="M15" i="7" s="1"/>
  <c r="N13" i="7"/>
  <c r="M13" i="7"/>
  <c r="K13" i="7"/>
  <c r="M14" i="7" s="1"/>
  <c r="N12" i="7"/>
  <c r="K12" i="7"/>
  <c r="M12" i="7" s="1"/>
  <c r="N11" i="7"/>
  <c r="M11" i="7"/>
  <c r="K11" i="7"/>
  <c r="C4" i="7"/>
  <c r="J257" i="6"/>
  <c r="I257" i="6"/>
  <c r="G257" i="6"/>
  <c r="F257" i="6"/>
  <c r="J256" i="6"/>
  <c r="I256" i="6"/>
  <c r="G256" i="6"/>
  <c r="F256" i="6"/>
  <c r="J255" i="6"/>
  <c r="I255" i="6"/>
  <c r="G255" i="6"/>
  <c r="F255" i="6"/>
  <c r="J254" i="6"/>
  <c r="I254" i="6"/>
  <c r="G254" i="6"/>
  <c r="F254" i="6"/>
  <c r="J253" i="6"/>
  <c r="I253" i="6"/>
  <c r="G253" i="6"/>
  <c r="F253" i="6"/>
  <c r="J252" i="6"/>
  <c r="I252" i="6"/>
  <c r="G252" i="6"/>
  <c r="F252" i="6"/>
  <c r="J251" i="6"/>
  <c r="I251" i="6"/>
  <c r="G251" i="6"/>
  <c r="F251" i="6"/>
  <c r="J250" i="6"/>
  <c r="I250" i="6"/>
  <c r="G250" i="6"/>
  <c r="F250" i="6"/>
  <c r="J249" i="6"/>
  <c r="I249" i="6"/>
  <c r="G249" i="6"/>
  <c r="F249" i="6"/>
  <c r="J248" i="6"/>
  <c r="I248" i="6"/>
  <c r="G248" i="6"/>
  <c r="F248" i="6"/>
  <c r="J247" i="6"/>
  <c r="I247" i="6"/>
  <c r="G247" i="6"/>
  <c r="F247" i="6"/>
  <c r="J246" i="6"/>
  <c r="I246" i="6"/>
  <c r="G246" i="6"/>
  <c r="F246" i="6"/>
  <c r="J245" i="6"/>
  <c r="I245" i="6"/>
  <c r="G245" i="6"/>
  <c r="F245" i="6"/>
  <c r="J244" i="6"/>
  <c r="I244" i="6"/>
  <c r="G244" i="6"/>
  <c r="F244" i="6"/>
  <c r="J243" i="6"/>
  <c r="I243" i="6"/>
  <c r="G243" i="6"/>
  <c r="F243" i="6"/>
  <c r="J242" i="6"/>
  <c r="I242" i="6"/>
  <c r="G242" i="6"/>
  <c r="F242" i="6"/>
  <c r="J241" i="6"/>
  <c r="I241" i="6"/>
  <c r="G241" i="6"/>
  <c r="F241" i="6"/>
  <c r="J240" i="6"/>
  <c r="I240" i="6"/>
  <c r="G240" i="6"/>
  <c r="F240" i="6"/>
  <c r="J239" i="6"/>
  <c r="I239" i="6"/>
  <c r="G239" i="6"/>
  <c r="F239" i="6"/>
  <c r="J238" i="6"/>
  <c r="I238" i="6"/>
  <c r="G238" i="6"/>
  <c r="F238" i="6"/>
  <c r="J237" i="6"/>
  <c r="I237" i="6"/>
  <c r="G237" i="6"/>
  <c r="F237" i="6"/>
  <c r="J236" i="6"/>
  <c r="I236" i="6"/>
  <c r="G236" i="6"/>
  <c r="F236" i="6"/>
  <c r="J235" i="6"/>
  <c r="I235" i="6"/>
  <c r="G235" i="6"/>
  <c r="F235" i="6"/>
  <c r="J234" i="6"/>
  <c r="I234" i="6"/>
  <c r="G234" i="6"/>
  <c r="F234" i="6"/>
  <c r="J233" i="6"/>
  <c r="I233" i="6"/>
  <c r="G233" i="6"/>
  <c r="F233" i="6"/>
  <c r="J232" i="6"/>
  <c r="I232" i="6"/>
  <c r="G232" i="6"/>
  <c r="F232" i="6"/>
  <c r="J231" i="6"/>
  <c r="I231" i="6"/>
  <c r="G231" i="6"/>
  <c r="F231" i="6"/>
  <c r="J230" i="6"/>
  <c r="I230" i="6"/>
  <c r="G230" i="6"/>
  <c r="F230" i="6"/>
  <c r="J229" i="6"/>
  <c r="I229" i="6"/>
  <c r="G229" i="6"/>
  <c r="F229" i="6"/>
  <c r="J228" i="6"/>
  <c r="I228" i="6"/>
  <c r="G228" i="6"/>
  <c r="F228" i="6"/>
  <c r="J227" i="6"/>
  <c r="I227" i="6"/>
  <c r="G227" i="6"/>
  <c r="F227" i="6"/>
  <c r="J226" i="6"/>
  <c r="I226" i="6"/>
  <c r="G226" i="6"/>
  <c r="F226" i="6"/>
  <c r="J225" i="6"/>
  <c r="I225" i="6"/>
  <c r="G225" i="6"/>
  <c r="F225" i="6"/>
  <c r="J224" i="6"/>
  <c r="I224" i="6"/>
  <c r="G224" i="6"/>
  <c r="F224" i="6"/>
  <c r="J223" i="6"/>
  <c r="I223" i="6"/>
  <c r="G223" i="6"/>
  <c r="F223" i="6"/>
  <c r="J222" i="6"/>
  <c r="I222" i="6"/>
  <c r="G222" i="6"/>
  <c r="F222" i="6"/>
  <c r="J221" i="6"/>
  <c r="I221" i="6"/>
  <c r="G221" i="6"/>
  <c r="F221" i="6"/>
  <c r="J220" i="6"/>
  <c r="I220" i="6"/>
  <c r="G220" i="6"/>
  <c r="F220" i="6"/>
  <c r="J219" i="6"/>
  <c r="I219" i="6"/>
  <c r="G219" i="6"/>
  <c r="F219" i="6"/>
  <c r="J218" i="6"/>
  <c r="I218" i="6"/>
  <c r="G218" i="6"/>
  <c r="F218" i="6"/>
  <c r="J217" i="6"/>
  <c r="I217" i="6"/>
  <c r="G217" i="6"/>
  <c r="F217" i="6"/>
  <c r="J216" i="6"/>
  <c r="I216" i="6"/>
  <c r="G216" i="6"/>
  <c r="F216" i="6"/>
  <c r="J215" i="6"/>
  <c r="I215" i="6"/>
  <c r="G215" i="6"/>
  <c r="F215" i="6"/>
  <c r="J214" i="6"/>
  <c r="I214" i="6"/>
  <c r="G214" i="6"/>
  <c r="F214" i="6"/>
  <c r="J213" i="6"/>
  <c r="I213" i="6"/>
  <c r="G213" i="6"/>
  <c r="F213" i="6"/>
  <c r="J212" i="6"/>
  <c r="I212" i="6"/>
  <c r="G212" i="6"/>
  <c r="F212" i="6"/>
  <c r="J211" i="6"/>
  <c r="I211" i="6"/>
  <c r="G211" i="6"/>
  <c r="F211" i="6"/>
  <c r="J210" i="6"/>
  <c r="I210" i="6"/>
  <c r="G210" i="6"/>
  <c r="F210" i="6"/>
  <c r="J209" i="6"/>
  <c r="I209" i="6"/>
  <c r="G209" i="6"/>
  <c r="F209" i="6"/>
  <c r="J208" i="6"/>
  <c r="I208" i="6"/>
  <c r="G208" i="6"/>
  <c r="F208" i="6"/>
  <c r="J207" i="6"/>
  <c r="I207" i="6"/>
  <c r="G207" i="6"/>
  <c r="F207" i="6"/>
  <c r="J206" i="6"/>
  <c r="I206" i="6"/>
  <c r="G206" i="6"/>
  <c r="F206" i="6"/>
  <c r="J205" i="6"/>
  <c r="I205" i="6"/>
  <c r="G205" i="6"/>
  <c r="F205" i="6"/>
  <c r="J204" i="6"/>
  <c r="I204" i="6"/>
  <c r="G204" i="6"/>
  <c r="F204" i="6"/>
  <c r="J203" i="6"/>
  <c r="I203" i="6"/>
  <c r="G203" i="6"/>
  <c r="F203" i="6"/>
  <c r="J202" i="6"/>
  <c r="I202" i="6"/>
  <c r="G202" i="6"/>
  <c r="F202" i="6"/>
  <c r="J201" i="6"/>
  <c r="I201" i="6"/>
  <c r="G201" i="6"/>
  <c r="F201" i="6"/>
  <c r="J200" i="6"/>
  <c r="I200" i="6"/>
  <c r="G200" i="6"/>
  <c r="F200" i="6"/>
  <c r="J199" i="6"/>
  <c r="I199" i="6"/>
  <c r="G199" i="6"/>
  <c r="F199" i="6"/>
  <c r="J198" i="6"/>
  <c r="I198" i="6"/>
  <c r="G198" i="6"/>
  <c r="F198" i="6"/>
  <c r="J197" i="6"/>
  <c r="I197" i="6"/>
  <c r="G197" i="6"/>
  <c r="F197" i="6"/>
  <c r="J196" i="6"/>
  <c r="I196" i="6"/>
  <c r="G196" i="6"/>
  <c r="F196" i="6"/>
  <c r="J195" i="6"/>
  <c r="I195" i="6"/>
  <c r="G195" i="6"/>
  <c r="F195" i="6"/>
  <c r="J194" i="6"/>
  <c r="I194" i="6"/>
  <c r="G194" i="6"/>
  <c r="F194" i="6"/>
  <c r="J193" i="6"/>
  <c r="I193" i="6"/>
  <c r="G193" i="6"/>
  <c r="F193" i="6"/>
  <c r="J192" i="6"/>
  <c r="I192" i="6"/>
  <c r="G192" i="6"/>
  <c r="F192" i="6"/>
  <c r="J191" i="6"/>
  <c r="I191" i="6"/>
  <c r="G191" i="6"/>
  <c r="F191" i="6"/>
  <c r="J190" i="6"/>
  <c r="I190" i="6"/>
  <c r="G190" i="6"/>
  <c r="F190" i="6"/>
  <c r="J189" i="6"/>
  <c r="I189" i="6"/>
  <c r="G189" i="6"/>
  <c r="F189" i="6"/>
  <c r="J188" i="6"/>
  <c r="I188" i="6"/>
  <c r="G188" i="6"/>
  <c r="F188" i="6"/>
  <c r="J187" i="6"/>
  <c r="I187" i="6"/>
  <c r="G187" i="6"/>
  <c r="F187" i="6"/>
  <c r="J186" i="6"/>
  <c r="I186" i="6"/>
  <c r="G186" i="6"/>
  <c r="F186" i="6"/>
  <c r="J185" i="6"/>
  <c r="I185" i="6"/>
  <c r="G185" i="6"/>
  <c r="F185" i="6"/>
  <c r="J184" i="6"/>
  <c r="I184" i="6"/>
  <c r="G184" i="6"/>
  <c r="F184" i="6"/>
  <c r="J183" i="6"/>
  <c r="I183" i="6"/>
  <c r="G183" i="6"/>
  <c r="F183" i="6"/>
  <c r="J182" i="6"/>
  <c r="I182" i="6"/>
  <c r="G182" i="6"/>
  <c r="F182" i="6"/>
  <c r="J181" i="6"/>
  <c r="I181" i="6"/>
  <c r="G181" i="6"/>
  <c r="F181" i="6"/>
  <c r="J180" i="6"/>
  <c r="I180" i="6"/>
  <c r="G180" i="6"/>
  <c r="F180" i="6"/>
  <c r="J179" i="6"/>
  <c r="I179" i="6"/>
  <c r="G179" i="6"/>
  <c r="F179" i="6"/>
  <c r="J178" i="6"/>
  <c r="I178" i="6"/>
  <c r="G178" i="6"/>
  <c r="F178" i="6"/>
  <c r="J177" i="6"/>
  <c r="I177" i="6"/>
  <c r="G177" i="6"/>
  <c r="F177" i="6"/>
  <c r="J176" i="6"/>
  <c r="I176" i="6"/>
  <c r="G176" i="6"/>
  <c r="F176" i="6"/>
  <c r="J175" i="6"/>
  <c r="I175" i="6"/>
  <c r="G175" i="6"/>
  <c r="F175" i="6"/>
  <c r="J174" i="6"/>
  <c r="I174" i="6"/>
  <c r="G174" i="6"/>
  <c r="F174" i="6"/>
  <c r="J173" i="6"/>
  <c r="I173" i="6"/>
  <c r="G173" i="6"/>
  <c r="F173" i="6"/>
  <c r="J172" i="6"/>
  <c r="I172" i="6"/>
  <c r="G172" i="6"/>
  <c r="F172" i="6"/>
  <c r="J171" i="6"/>
  <c r="I171" i="6"/>
  <c r="G171" i="6"/>
  <c r="F171" i="6"/>
  <c r="J170" i="6"/>
  <c r="I170" i="6"/>
  <c r="G170" i="6"/>
  <c r="F170" i="6"/>
  <c r="J169" i="6"/>
  <c r="I169" i="6"/>
  <c r="G169" i="6"/>
  <c r="F169" i="6"/>
  <c r="J168" i="6"/>
  <c r="I168" i="6"/>
  <c r="G168" i="6"/>
  <c r="F168" i="6"/>
  <c r="J167" i="6"/>
  <c r="I167" i="6"/>
  <c r="G167" i="6"/>
  <c r="F167" i="6"/>
  <c r="J166" i="6"/>
  <c r="I166" i="6"/>
  <c r="G166" i="6"/>
  <c r="F166" i="6"/>
  <c r="J165" i="6"/>
  <c r="I165" i="6"/>
  <c r="G165" i="6"/>
  <c r="F165" i="6"/>
  <c r="J164" i="6"/>
  <c r="I164" i="6"/>
  <c r="G164" i="6"/>
  <c r="F164" i="6"/>
  <c r="J163" i="6"/>
  <c r="I163" i="6"/>
  <c r="G163" i="6"/>
  <c r="F163" i="6"/>
  <c r="J162" i="6"/>
  <c r="I162" i="6"/>
  <c r="G162" i="6"/>
  <c r="F162" i="6"/>
  <c r="J161" i="6"/>
  <c r="I161" i="6"/>
  <c r="G161" i="6"/>
  <c r="F161" i="6"/>
  <c r="J160" i="6"/>
  <c r="I160" i="6"/>
  <c r="G160" i="6"/>
  <c r="F160" i="6"/>
  <c r="J159" i="6"/>
  <c r="I159" i="6"/>
  <c r="G159" i="6"/>
  <c r="F159" i="6"/>
  <c r="J158" i="6"/>
  <c r="I158" i="6"/>
  <c r="G158" i="6"/>
  <c r="F158" i="6"/>
  <c r="J157" i="6"/>
  <c r="I157" i="6"/>
  <c r="G157" i="6"/>
  <c r="F157" i="6"/>
  <c r="J156" i="6"/>
  <c r="I156" i="6"/>
  <c r="G156" i="6"/>
  <c r="F156" i="6"/>
  <c r="J155" i="6"/>
  <c r="I155" i="6"/>
  <c r="G155" i="6"/>
  <c r="F155" i="6"/>
  <c r="J154" i="6"/>
  <c r="I154" i="6"/>
  <c r="G154" i="6"/>
  <c r="F154" i="6"/>
  <c r="J153" i="6"/>
  <c r="I153" i="6"/>
  <c r="G153" i="6"/>
  <c r="F153" i="6"/>
  <c r="J152" i="6"/>
  <c r="I152" i="6"/>
  <c r="G152" i="6"/>
  <c r="F152" i="6"/>
  <c r="J151" i="6"/>
  <c r="I151" i="6"/>
  <c r="G151" i="6"/>
  <c r="F151" i="6"/>
  <c r="J150" i="6"/>
  <c r="I150" i="6"/>
  <c r="G150" i="6"/>
  <c r="F150" i="6"/>
  <c r="J149" i="6"/>
  <c r="I149" i="6"/>
  <c r="G149" i="6"/>
  <c r="F149" i="6"/>
  <c r="J148" i="6"/>
  <c r="I148" i="6"/>
  <c r="G148" i="6"/>
  <c r="F148" i="6"/>
  <c r="J147" i="6"/>
  <c r="I147" i="6"/>
  <c r="G147" i="6"/>
  <c r="F147" i="6"/>
  <c r="J146" i="6"/>
  <c r="I146" i="6"/>
  <c r="G146" i="6"/>
  <c r="F146" i="6"/>
  <c r="J145" i="6"/>
  <c r="I145" i="6"/>
  <c r="G145" i="6"/>
  <c r="F145" i="6"/>
  <c r="J144" i="6"/>
  <c r="I144" i="6"/>
  <c r="G144" i="6"/>
  <c r="F144" i="6"/>
  <c r="J143" i="6"/>
  <c r="I143" i="6"/>
  <c r="G143" i="6"/>
  <c r="F143" i="6"/>
  <c r="J142" i="6"/>
  <c r="I142" i="6"/>
  <c r="G142" i="6"/>
  <c r="F142" i="6"/>
  <c r="J141" i="6"/>
  <c r="I141" i="6"/>
  <c r="G141" i="6"/>
  <c r="F141" i="6"/>
  <c r="J140" i="6"/>
  <c r="I140" i="6"/>
  <c r="G140" i="6"/>
  <c r="F140" i="6"/>
  <c r="J139" i="6"/>
  <c r="I139" i="6"/>
  <c r="G139" i="6"/>
  <c r="F139" i="6"/>
  <c r="J138" i="6"/>
  <c r="I138" i="6"/>
  <c r="G138" i="6"/>
  <c r="F138" i="6"/>
  <c r="J137" i="6"/>
  <c r="I137" i="6"/>
  <c r="G137" i="6"/>
  <c r="F137" i="6"/>
  <c r="J136" i="6"/>
  <c r="I136" i="6"/>
  <c r="G136" i="6"/>
  <c r="F136" i="6"/>
  <c r="J135" i="6"/>
  <c r="I135" i="6"/>
  <c r="G135" i="6"/>
  <c r="F135" i="6"/>
  <c r="J134" i="6"/>
  <c r="I134" i="6"/>
  <c r="G134" i="6"/>
  <c r="F134" i="6"/>
  <c r="J133" i="6"/>
  <c r="I133" i="6"/>
  <c r="G133" i="6"/>
  <c r="F133" i="6"/>
  <c r="J132" i="6"/>
  <c r="I132" i="6"/>
  <c r="G132" i="6"/>
  <c r="F132" i="6"/>
  <c r="J131" i="6"/>
  <c r="I131" i="6"/>
  <c r="G131" i="6"/>
  <c r="F131" i="6"/>
  <c r="J130" i="6"/>
  <c r="I130" i="6"/>
  <c r="G130" i="6"/>
  <c r="F130" i="6"/>
  <c r="J129" i="6"/>
  <c r="I129" i="6"/>
  <c r="G129" i="6"/>
  <c r="F129" i="6"/>
  <c r="J128" i="6"/>
  <c r="I128" i="6"/>
  <c r="G128" i="6"/>
  <c r="F128" i="6"/>
  <c r="J127" i="6"/>
  <c r="I127" i="6"/>
  <c r="G127" i="6"/>
  <c r="F127" i="6"/>
  <c r="J126" i="6"/>
  <c r="I126" i="6"/>
  <c r="G126" i="6"/>
  <c r="F126" i="6"/>
  <c r="J125" i="6"/>
  <c r="I125" i="6"/>
  <c r="G125" i="6"/>
  <c r="F125" i="6"/>
  <c r="J124" i="6"/>
  <c r="I124" i="6"/>
  <c r="G124" i="6"/>
  <c r="F124" i="6"/>
  <c r="J123" i="6"/>
  <c r="I123" i="6"/>
  <c r="G123" i="6"/>
  <c r="F123" i="6"/>
  <c r="J122" i="6"/>
  <c r="I122" i="6"/>
  <c r="G122" i="6"/>
  <c r="F122" i="6"/>
  <c r="J121" i="6"/>
  <c r="I121" i="6"/>
  <c r="G121" i="6"/>
  <c r="F121" i="6"/>
  <c r="J120" i="6"/>
  <c r="I120" i="6"/>
  <c r="G120" i="6"/>
  <c r="F120" i="6"/>
  <c r="J119" i="6"/>
  <c r="I119" i="6"/>
  <c r="G119" i="6"/>
  <c r="F119" i="6"/>
  <c r="J118" i="6"/>
  <c r="I118" i="6"/>
  <c r="G118" i="6"/>
  <c r="F118" i="6"/>
  <c r="J117" i="6"/>
  <c r="I117" i="6"/>
  <c r="G117" i="6"/>
  <c r="F117" i="6"/>
  <c r="J116" i="6"/>
  <c r="I116" i="6"/>
  <c r="G116" i="6"/>
  <c r="F116" i="6"/>
  <c r="J115" i="6"/>
  <c r="I115" i="6"/>
  <c r="G115" i="6"/>
  <c r="F115" i="6"/>
  <c r="J114" i="6"/>
  <c r="I114" i="6"/>
  <c r="G114" i="6"/>
  <c r="F114" i="6"/>
  <c r="J113" i="6"/>
  <c r="I113" i="6"/>
  <c r="G113" i="6"/>
  <c r="F113" i="6"/>
  <c r="J112" i="6"/>
  <c r="I112" i="6"/>
  <c r="G112" i="6"/>
  <c r="F112" i="6"/>
  <c r="J111" i="6"/>
  <c r="I111" i="6"/>
  <c r="G111" i="6"/>
  <c r="F111" i="6"/>
  <c r="J110" i="6"/>
  <c r="I110" i="6"/>
  <c r="G110" i="6"/>
  <c r="F110" i="6"/>
  <c r="J109" i="6"/>
  <c r="I109" i="6"/>
  <c r="G109" i="6"/>
  <c r="F109" i="6"/>
  <c r="J108" i="6"/>
  <c r="I108" i="6"/>
  <c r="G108" i="6"/>
  <c r="F108" i="6"/>
  <c r="J107" i="6"/>
  <c r="I107" i="6"/>
  <c r="G107" i="6"/>
  <c r="F107" i="6"/>
  <c r="J106" i="6"/>
  <c r="I106" i="6"/>
  <c r="G106" i="6"/>
  <c r="F106" i="6"/>
  <c r="J105" i="6"/>
  <c r="I105" i="6"/>
  <c r="G105" i="6"/>
  <c r="F105" i="6"/>
  <c r="J104" i="6"/>
  <c r="I104" i="6"/>
  <c r="G104" i="6"/>
  <c r="F104" i="6"/>
  <c r="J103" i="6"/>
  <c r="I103" i="6"/>
  <c r="G103" i="6"/>
  <c r="F103" i="6"/>
  <c r="J102" i="6"/>
  <c r="I102" i="6"/>
  <c r="G102" i="6"/>
  <c r="F102" i="6"/>
  <c r="J101" i="6"/>
  <c r="I101" i="6"/>
  <c r="G101" i="6"/>
  <c r="F101" i="6"/>
  <c r="J100" i="6"/>
  <c r="I100" i="6"/>
  <c r="G100" i="6"/>
  <c r="F100" i="6"/>
  <c r="J99" i="6"/>
  <c r="I99" i="6"/>
  <c r="G99" i="6"/>
  <c r="F99" i="6"/>
  <c r="J98" i="6"/>
  <c r="I98" i="6"/>
  <c r="G98" i="6"/>
  <c r="F98" i="6"/>
  <c r="J97" i="6"/>
  <c r="I97" i="6"/>
  <c r="G97" i="6"/>
  <c r="F97" i="6"/>
  <c r="J96" i="6"/>
  <c r="I96" i="6"/>
  <c r="G96" i="6"/>
  <c r="F96" i="6"/>
  <c r="J95" i="6"/>
  <c r="I95" i="6"/>
  <c r="G95" i="6"/>
  <c r="F95" i="6"/>
  <c r="J94" i="6"/>
  <c r="I94" i="6"/>
  <c r="G94" i="6"/>
  <c r="F94" i="6"/>
  <c r="J93" i="6"/>
  <c r="I93" i="6"/>
  <c r="G93" i="6"/>
  <c r="F93" i="6"/>
  <c r="J92" i="6"/>
  <c r="I92" i="6"/>
  <c r="G92" i="6"/>
  <c r="F92" i="6"/>
  <c r="J91" i="6"/>
  <c r="I91" i="6"/>
  <c r="G91" i="6"/>
  <c r="F91" i="6"/>
  <c r="J90" i="6"/>
  <c r="I90" i="6"/>
  <c r="G90" i="6"/>
  <c r="F90" i="6"/>
  <c r="J89" i="6"/>
  <c r="I89" i="6"/>
  <c r="G89" i="6"/>
  <c r="F89" i="6"/>
  <c r="J88" i="6"/>
  <c r="I88" i="6"/>
  <c r="G88" i="6"/>
  <c r="F88" i="6"/>
  <c r="J87" i="6"/>
  <c r="I87" i="6"/>
  <c r="G87" i="6"/>
  <c r="F87" i="6"/>
  <c r="J86" i="6"/>
  <c r="I86" i="6"/>
  <c r="G86" i="6"/>
  <c r="F86" i="6"/>
  <c r="J85" i="6"/>
  <c r="I85" i="6"/>
  <c r="G85" i="6"/>
  <c r="F85" i="6"/>
  <c r="J84" i="6"/>
  <c r="I84" i="6"/>
  <c r="G84" i="6"/>
  <c r="F84" i="6"/>
  <c r="J83" i="6"/>
  <c r="I83" i="6"/>
  <c r="G83" i="6"/>
  <c r="F83" i="6"/>
  <c r="J82" i="6"/>
  <c r="I82" i="6"/>
  <c r="G82" i="6"/>
  <c r="F82" i="6"/>
  <c r="J81" i="6"/>
  <c r="I81" i="6"/>
  <c r="G81" i="6"/>
  <c r="F81" i="6"/>
  <c r="J80" i="6"/>
  <c r="I80" i="6"/>
  <c r="G80" i="6"/>
  <c r="F80" i="6"/>
  <c r="J79" i="6"/>
  <c r="I79" i="6"/>
  <c r="G79" i="6"/>
  <c r="F79" i="6"/>
  <c r="J78" i="6"/>
  <c r="I78" i="6"/>
  <c r="G78" i="6"/>
  <c r="F78" i="6"/>
  <c r="J77" i="6"/>
  <c r="I77" i="6"/>
  <c r="G77" i="6"/>
  <c r="F77" i="6"/>
  <c r="J76" i="6"/>
  <c r="I76" i="6"/>
  <c r="G76" i="6"/>
  <c r="F76" i="6"/>
  <c r="J75" i="6"/>
  <c r="I75" i="6"/>
  <c r="G75" i="6"/>
  <c r="F75" i="6"/>
  <c r="J74" i="6"/>
  <c r="I74" i="6"/>
  <c r="G74" i="6"/>
  <c r="F74" i="6"/>
  <c r="J73" i="6"/>
  <c r="I73" i="6"/>
  <c r="G73" i="6"/>
  <c r="F73" i="6"/>
  <c r="C4" i="6"/>
  <c r="H104" i="5"/>
  <c r="C104" i="5"/>
  <c r="A104" i="5"/>
  <c r="C106" i="5" s="1"/>
  <c r="H100" i="5"/>
  <c r="D100" i="5"/>
  <c r="C100" i="5"/>
  <c r="E101" i="5" s="1"/>
  <c r="A100" i="5"/>
  <c r="C102" i="5" s="1"/>
  <c r="H96" i="5"/>
  <c r="L32" i="5" s="1"/>
  <c r="C96" i="5"/>
  <c r="E97" i="5" s="1"/>
  <c r="A96" i="5"/>
  <c r="C98" i="5" s="1"/>
  <c r="H92" i="5"/>
  <c r="A92" i="5"/>
  <c r="C94" i="5" s="1"/>
  <c r="H88" i="5"/>
  <c r="K30" i="5" s="1"/>
  <c r="A88" i="5"/>
  <c r="C90" i="5" s="1"/>
  <c r="H84" i="5"/>
  <c r="K29" i="5" s="1"/>
  <c r="C84" i="5"/>
  <c r="A84" i="5"/>
  <c r="C86" i="5" s="1"/>
  <c r="H80" i="5"/>
  <c r="A80" i="5"/>
  <c r="C82" i="5" s="1"/>
  <c r="H76" i="5"/>
  <c r="L27" i="5" s="1"/>
  <c r="A76" i="5"/>
  <c r="H72" i="5"/>
  <c r="C72" i="5"/>
  <c r="E73" i="5" s="1"/>
  <c r="A72" i="5"/>
  <c r="C74" i="5" s="1"/>
  <c r="H68" i="5"/>
  <c r="K25" i="5" s="1"/>
  <c r="A68" i="5"/>
  <c r="C70" i="5" s="1"/>
  <c r="H64" i="5"/>
  <c r="L24" i="5" s="1"/>
  <c r="A64" i="5"/>
  <c r="C66" i="5" s="1"/>
  <c r="C63" i="5"/>
  <c r="D63" i="5" s="1"/>
  <c r="H60" i="5"/>
  <c r="C60" i="5"/>
  <c r="E61" i="5" s="1"/>
  <c r="A60" i="5"/>
  <c r="J23" i="5" s="1"/>
  <c r="H56" i="5"/>
  <c r="A56" i="5"/>
  <c r="C58" i="5" s="1"/>
  <c r="H52" i="5"/>
  <c r="A52" i="5"/>
  <c r="C54" i="5" s="1"/>
  <c r="H48" i="5"/>
  <c r="C48" i="5"/>
  <c r="E49" i="5" s="1"/>
  <c r="A48" i="5"/>
  <c r="C50" i="5" s="1"/>
  <c r="H44" i="5"/>
  <c r="A44" i="5"/>
  <c r="C46" i="5" s="1"/>
  <c r="H40" i="5"/>
  <c r="A40" i="5"/>
  <c r="C42" i="5" s="1"/>
  <c r="H36" i="5"/>
  <c r="A36" i="5"/>
  <c r="L34" i="5"/>
  <c r="K34" i="5"/>
  <c r="J34" i="5"/>
  <c r="L33" i="5"/>
  <c r="K33" i="5"/>
  <c r="J33" i="5"/>
  <c r="K32" i="5"/>
  <c r="H32" i="5"/>
  <c r="A32" i="5"/>
  <c r="C34" i="5" s="1"/>
  <c r="L31" i="5"/>
  <c r="K31" i="5"/>
  <c r="L30" i="5"/>
  <c r="J30" i="5"/>
  <c r="L29" i="5"/>
  <c r="J29" i="5"/>
  <c r="L28" i="5"/>
  <c r="K28" i="5"/>
  <c r="H28" i="5"/>
  <c r="A28" i="5"/>
  <c r="C30" i="5" s="1"/>
  <c r="K27" i="5"/>
  <c r="J27" i="5"/>
  <c r="J26" i="5"/>
  <c r="L25" i="5"/>
  <c r="K24" i="5"/>
  <c r="J24" i="5"/>
  <c r="H24" i="5"/>
  <c r="L14" i="5" s="1"/>
  <c r="A24" i="5"/>
  <c r="C26" i="5" s="1"/>
  <c r="L23" i="5"/>
  <c r="K23" i="5"/>
  <c r="L21" i="5"/>
  <c r="K21" i="5"/>
  <c r="J20" i="5"/>
  <c r="H20" i="5"/>
  <c r="L13" i="5" s="1"/>
  <c r="A20" i="5"/>
  <c r="C22" i="5" s="1"/>
  <c r="L19" i="5"/>
  <c r="K19" i="5"/>
  <c r="J19" i="5"/>
  <c r="L17" i="5"/>
  <c r="K17" i="5"/>
  <c r="H16" i="5"/>
  <c r="L12" i="5" s="1"/>
  <c r="A16" i="5"/>
  <c r="C18" i="5" s="1"/>
  <c r="H12" i="5"/>
  <c r="K11" i="5" s="1"/>
  <c r="A12" i="5"/>
  <c r="C14" i="5" s="1"/>
  <c r="H8" i="5"/>
  <c r="K10" i="5" s="1"/>
  <c r="A8" i="5"/>
  <c r="C10" i="5" s="1"/>
  <c r="C3" i="5"/>
  <c r="G104" i="3"/>
  <c r="F104" i="3"/>
  <c r="B104" i="3"/>
  <c r="G103" i="3"/>
  <c r="F103" i="3"/>
  <c r="B103" i="3"/>
  <c r="G102" i="3"/>
  <c r="F102" i="3"/>
  <c r="B102" i="3"/>
  <c r="G101" i="3"/>
  <c r="F101" i="3"/>
  <c r="B101" i="3"/>
  <c r="G100" i="3"/>
  <c r="F100" i="3"/>
  <c r="B100" i="3"/>
  <c r="G99" i="3"/>
  <c r="F99" i="3"/>
  <c r="B99" i="3"/>
  <c r="G98" i="3"/>
  <c r="F98" i="3"/>
  <c r="B98" i="3"/>
  <c r="G97" i="3"/>
  <c r="F97" i="3"/>
  <c r="B97" i="3"/>
  <c r="G96" i="3"/>
  <c r="F96" i="3"/>
  <c r="B96" i="3"/>
  <c r="G95" i="3"/>
  <c r="F95" i="3"/>
  <c r="B95" i="3"/>
  <c r="G94" i="3"/>
  <c r="F94" i="3"/>
  <c r="B94" i="3"/>
  <c r="G93" i="3"/>
  <c r="F93" i="3"/>
  <c r="B93" i="3"/>
  <c r="G92" i="3"/>
  <c r="F92" i="3"/>
  <c r="B92" i="3"/>
  <c r="J91" i="3"/>
  <c r="G91" i="3" s="1"/>
  <c r="F91" i="3"/>
  <c r="B91" i="3"/>
  <c r="G90" i="3"/>
  <c r="F90" i="3"/>
  <c r="B90" i="3"/>
  <c r="J89" i="3"/>
  <c r="G89" i="3" s="1"/>
  <c r="F89" i="3"/>
  <c r="B89" i="3"/>
  <c r="G88" i="3"/>
  <c r="F88" i="3"/>
  <c r="B88" i="3"/>
  <c r="G87" i="3"/>
  <c r="F87" i="3"/>
  <c r="B87" i="3"/>
  <c r="D86" i="3"/>
  <c r="D67" i="3"/>
  <c r="K66" i="3"/>
  <c r="K67" i="3" s="1"/>
  <c r="K13" i="8" s="1"/>
  <c r="K65" i="3"/>
  <c r="F59" i="3"/>
  <c r="E59" i="3"/>
  <c r="D56" i="3"/>
  <c r="G93" i="8" s="1"/>
  <c r="G45" i="3"/>
  <c r="F45" i="3"/>
  <c r="F44" i="3"/>
  <c r="G44" i="3" s="1"/>
  <c r="G43" i="3"/>
  <c r="F43" i="3"/>
  <c r="E33" i="3"/>
  <c r="G33" i="3" s="1"/>
  <c r="G57" i="8" s="1"/>
  <c r="I57" i="8" s="1"/>
  <c r="I28" i="3"/>
  <c r="M21" i="3"/>
  <c r="L21" i="3"/>
  <c r="F21" i="3"/>
  <c r="B37" i="8" s="1"/>
  <c r="D21" i="3"/>
  <c r="B36" i="8" s="1"/>
  <c r="L20" i="3"/>
  <c r="L19" i="3"/>
  <c r="I16" i="3"/>
  <c r="F15" i="3"/>
  <c r="G51" i="8" s="1"/>
  <c r="D15" i="3"/>
  <c r="I10" i="3"/>
  <c r="H4" i="3"/>
  <c r="D4" i="3"/>
  <c r="D3" i="3"/>
  <c r="L2" i="2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AA2" i="2" s="1"/>
  <c r="AB2" i="2" s="1"/>
  <c r="AC2" i="2" s="1"/>
  <c r="I2" i="2"/>
  <c r="J2" i="2" s="1"/>
  <c r="K2" i="2" s="1"/>
  <c r="H2" i="2"/>
  <c r="G2" i="2"/>
  <c r="F2" i="2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O49" i="8" s="1"/>
  <c r="E13" i="1"/>
  <c r="D13" i="1"/>
  <c r="E105" i="5" l="1"/>
  <c r="C107" i="5"/>
  <c r="D107" i="5" s="1"/>
  <c r="M18" i="7"/>
  <c r="M42" i="7"/>
  <c r="M50" i="7"/>
  <c r="K12" i="5"/>
  <c r="L16" i="5"/>
  <c r="K16" i="5"/>
  <c r="C38" i="5"/>
  <c r="J17" i="5"/>
  <c r="K20" i="5"/>
  <c r="L20" i="5"/>
  <c r="K22" i="5"/>
  <c r="L22" i="5"/>
  <c r="C78" i="5"/>
  <c r="C76" i="5"/>
  <c r="D104" i="5"/>
  <c r="M25" i="7"/>
  <c r="M33" i="7"/>
  <c r="M70" i="7"/>
  <c r="M102" i="7"/>
  <c r="M118" i="7"/>
  <c r="M134" i="7"/>
  <c r="K18" i="5"/>
  <c r="L18" i="5"/>
  <c r="K26" i="5"/>
  <c r="L26" i="5"/>
  <c r="K13" i="5"/>
  <c r="L15" i="5"/>
  <c r="K15" i="5"/>
  <c r="E85" i="5"/>
  <c r="C87" i="5"/>
  <c r="D87" i="5" s="1"/>
  <c r="M53" i="7"/>
  <c r="M58" i="7"/>
  <c r="M74" i="7"/>
  <c r="M90" i="7"/>
  <c r="M106" i="7"/>
  <c r="M122" i="7"/>
  <c r="M138" i="7"/>
  <c r="G46" i="3"/>
  <c r="I83" i="8" s="1"/>
  <c r="E15" i="11"/>
  <c r="O67" i="8"/>
  <c r="O71" i="8"/>
  <c r="O75" i="8"/>
  <c r="O68" i="8"/>
  <c r="O72" i="8"/>
  <c r="O76" i="8"/>
  <c r="O69" i="8"/>
  <c r="O73" i="8"/>
  <c r="O77" i="8"/>
  <c r="D26" i="9"/>
  <c r="L45" i="8"/>
  <c r="I45" i="8" s="1"/>
  <c r="Q49" i="8"/>
  <c r="L22" i="3"/>
  <c r="K14" i="5"/>
  <c r="C103" i="5"/>
  <c r="D103" i="5" s="1"/>
  <c r="O66" i="8"/>
  <c r="O70" i="8"/>
  <c r="O74" i="8"/>
  <c r="O78" i="8"/>
  <c r="F25" i="11"/>
  <c r="K25" i="11" s="1"/>
  <c r="J25" i="5"/>
  <c r="B7" i="9"/>
  <c r="J28" i="5"/>
  <c r="C36" i="5"/>
  <c r="C64" i="5"/>
  <c r="C79" i="5"/>
  <c r="D79" i="5" s="1"/>
  <c r="C88" i="5"/>
  <c r="F17" i="11"/>
  <c r="J17" i="11" s="1"/>
  <c r="A20" i="11"/>
  <c r="I20" i="11" s="1"/>
  <c r="C75" i="5"/>
  <c r="D75" i="5" s="1"/>
  <c r="C99" i="5"/>
  <c r="D99" i="5" s="1"/>
  <c r="I14" i="11"/>
  <c r="C68" i="5"/>
  <c r="D68" i="5" s="1"/>
  <c r="E72" i="5"/>
  <c r="C92" i="5"/>
  <c r="E96" i="5"/>
  <c r="E100" i="5"/>
  <c r="E104" i="5"/>
  <c r="A10" i="11"/>
  <c r="I10" i="11" s="1"/>
  <c r="G10" i="11" s="1"/>
  <c r="A13" i="11"/>
  <c r="I13" i="11" s="1"/>
  <c r="A16" i="11"/>
  <c r="I16" i="11" s="1"/>
  <c r="F19" i="11"/>
  <c r="K19" i="11" s="1"/>
  <c r="J18" i="5"/>
  <c r="J31" i="5"/>
  <c r="A11" i="11"/>
  <c r="I11" i="11" s="1"/>
  <c r="F16" i="11"/>
  <c r="K16" i="11" s="1"/>
  <c r="J32" i="5"/>
  <c r="C56" i="5"/>
  <c r="E60" i="5"/>
  <c r="C80" i="5"/>
  <c r="E84" i="5"/>
  <c r="A26" i="11"/>
  <c r="I26" i="11" s="1"/>
  <c r="E59" i="5"/>
  <c r="D58" i="5"/>
  <c r="E58" i="5"/>
  <c r="E83" i="5"/>
  <c r="D82" i="5"/>
  <c r="E82" i="5"/>
  <c r="E87" i="5"/>
  <c r="D86" i="5"/>
  <c r="E86" i="5"/>
  <c r="E67" i="5"/>
  <c r="D66" i="5"/>
  <c r="E66" i="5"/>
  <c r="E91" i="5"/>
  <c r="D90" i="5"/>
  <c r="E90" i="5"/>
  <c r="E71" i="5"/>
  <c r="D70" i="5"/>
  <c r="E70" i="5"/>
  <c r="E95" i="5"/>
  <c r="D94" i="5"/>
  <c r="E94" i="5"/>
  <c r="E75" i="5"/>
  <c r="D74" i="5"/>
  <c r="E74" i="5"/>
  <c r="E99" i="5"/>
  <c r="D98" i="5"/>
  <c r="E98" i="5"/>
  <c r="E79" i="5"/>
  <c r="D78" i="5"/>
  <c r="E78" i="5"/>
  <c r="E103" i="5"/>
  <c r="D102" i="5"/>
  <c r="E102" i="5"/>
  <c r="E107" i="5"/>
  <c r="D106" i="5"/>
  <c r="E106" i="5"/>
  <c r="J22" i="5"/>
  <c r="C52" i="5"/>
  <c r="D56" i="5"/>
  <c r="D60" i="5"/>
  <c r="D64" i="5"/>
  <c r="D72" i="5"/>
  <c r="D76" i="5"/>
  <c r="D84" i="5"/>
  <c r="D92" i="5"/>
  <c r="D96" i="5"/>
  <c r="E11" i="11"/>
  <c r="E14" i="11"/>
  <c r="A23" i="11"/>
  <c r="I23" i="11" s="1"/>
  <c r="G23" i="11" s="1"/>
  <c r="F26" i="11"/>
  <c r="A22" i="11"/>
  <c r="I22" i="11" s="1"/>
  <c r="G22" i="11" s="1"/>
  <c r="F22" i="11"/>
  <c r="K22" i="11" s="1"/>
  <c r="F23" i="11"/>
  <c r="C51" i="5"/>
  <c r="C62" i="5"/>
  <c r="I46" i="8"/>
  <c r="J47" i="8" s="1"/>
  <c r="M56" i="8"/>
  <c r="E13" i="11"/>
  <c r="A19" i="11"/>
  <c r="I19" i="11" s="1"/>
  <c r="J19" i="11"/>
  <c r="A21" i="11"/>
  <c r="I21" i="11" s="1"/>
  <c r="G21" i="11" s="1"/>
  <c r="J21" i="5"/>
  <c r="C40" i="5"/>
  <c r="D40" i="5" s="1"/>
  <c r="K17" i="11"/>
  <c r="L17" i="11" s="1"/>
  <c r="A28" i="11"/>
  <c r="I28" i="11" s="1"/>
  <c r="F28" i="11"/>
  <c r="K28" i="11" s="1"/>
  <c r="F86" i="3"/>
  <c r="C44" i="5"/>
  <c r="D44" i="5" s="1"/>
  <c r="E48" i="5"/>
  <c r="E10" i="11"/>
  <c r="A15" i="11"/>
  <c r="I15" i="11" s="1"/>
  <c r="A17" i="11"/>
  <c r="I17" i="11" s="1"/>
  <c r="F20" i="11"/>
  <c r="E21" i="11"/>
  <c r="A25" i="11"/>
  <c r="I25" i="11" s="1"/>
  <c r="G25" i="11" s="1"/>
  <c r="J25" i="11"/>
  <c r="A27" i="11"/>
  <c r="I27" i="11" s="1"/>
  <c r="G27" i="11" s="1"/>
  <c r="G17" i="11"/>
  <c r="D10" i="5"/>
  <c r="E11" i="5"/>
  <c r="E10" i="5"/>
  <c r="D30" i="5"/>
  <c r="E31" i="5"/>
  <c r="E30" i="5"/>
  <c r="E43" i="5"/>
  <c r="D42" i="5"/>
  <c r="E42" i="5"/>
  <c r="E47" i="5"/>
  <c r="D46" i="5"/>
  <c r="E46" i="5"/>
  <c r="D26" i="5"/>
  <c r="E27" i="5"/>
  <c r="E26" i="5"/>
  <c r="E51" i="5"/>
  <c r="D50" i="5"/>
  <c r="E50" i="5"/>
  <c r="C24" i="9"/>
  <c r="D24" i="9"/>
  <c r="G20" i="11"/>
  <c r="E39" i="5"/>
  <c r="D38" i="5"/>
  <c r="E38" i="5"/>
  <c r="G53" i="8"/>
  <c r="L51" i="8"/>
  <c r="I51" i="8" s="1"/>
  <c r="G52" i="8"/>
  <c r="I52" i="8" s="1"/>
  <c r="E55" i="5"/>
  <c r="D54" i="5"/>
  <c r="E54" i="5"/>
  <c r="G11" i="11"/>
  <c r="G19" i="11"/>
  <c r="E93" i="8"/>
  <c r="E95" i="8" s="1"/>
  <c r="E90" i="8" s="1"/>
  <c r="I93" i="8"/>
  <c r="D14" i="5"/>
  <c r="E15" i="5"/>
  <c r="E14" i="5"/>
  <c r="D18" i="5"/>
  <c r="E19" i="5"/>
  <c r="E18" i="5"/>
  <c r="D22" i="5"/>
  <c r="E23" i="5"/>
  <c r="E22" i="5"/>
  <c r="D34" i="5"/>
  <c r="E35" i="5"/>
  <c r="E34" i="5"/>
  <c r="J46" i="8"/>
  <c r="G16" i="11"/>
  <c r="G26" i="11"/>
  <c r="G28" i="11"/>
  <c r="D51" i="5"/>
  <c r="O88" i="8"/>
  <c r="L10" i="5"/>
  <c r="L11" i="5"/>
  <c r="J12" i="5"/>
  <c r="J16" i="5"/>
  <c r="D36" i="5"/>
  <c r="D48" i="5"/>
  <c r="A10" i="9"/>
  <c r="A13" i="9"/>
  <c r="A16" i="9"/>
  <c r="A19" i="9"/>
  <c r="A22" i="9"/>
  <c r="A25" i="9"/>
  <c r="I9" i="11"/>
  <c r="E12" i="11"/>
  <c r="J16" i="11"/>
  <c r="E18" i="11"/>
  <c r="J22" i="11"/>
  <c r="E24" i="11"/>
  <c r="F26" i="6"/>
  <c r="G26" i="6" s="1"/>
  <c r="I26" i="6" s="1"/>
  <c r="J26" i="6" s="1"/>
  <c r="F32" i="6"/>
  <c r="G32" i="6" s="1"/>
  <c r="I32" i="6" s="1"/>
  <c r="J32" i="6" s="1"/>
  <c r="F35" i="6"/>
  <c r="G35" i="6" s="1"/>
  <c r="I35" i="6" s="1"/>
  <c r="J35" i="6" s="1"/>
  <c r="F38" i="6"/>
  <c r="G38" i="6" s="1"/>
  <c r="I38" i="6" s="1"/>
  <c r="J38" i="6" s="1"/>
  <c r="F59" i="6"/>
  <c r="G59" i="6" s="1"/>
  <c r="I59" i="6" s="1"/>
  <c r="J59" i="6" s="1"/>
  <c r="F71" i="6"/>
  <c r="G71" i="6" s="1"/>
  <c r="I71" i="6" s="1"/>
  <c r="J71" i="6" s="1"/>
  <c r="I47" i="8"/>
  <c r="I48" i="8" s="1"/>
  <c r="F11" i="6"/>
  <c r="G11" i="6" s="1"/>
  <c r="I11" i="6" s="1"/>
  <c r="J11" i="6" s="1"/>
  <c r="F14" i="6"/>
  <c r="G14" i="6" s="1"/>
  <c r="I14" i="6" s="1"/>
  <c r="J14" i="6" s="1"/>
  <c r="F17" i="6"/>
  <c r="G17" i="6" s="1"/>
  <c r="I17" i="6" s="1"/>
  <c r="J17" i="6" s="1"/>
  <c r="F20" i="6"/>
  <c r="G20" i="6" s="1"/>
  <c r="I20" i="6" s="1"/>
  <c r="J20" i="6" s="1"/>
  <c r="F23" i="6"/>
  <c r="G23" i="6" s="1"/>
  <c r="I23" i="6" s="1"/>
  <c r="J23" i="6" s="1"/>
  <c r="F29" i="6"/>
  <c r="G29" i="6" s="1"/>
  <c r="I29" i="6" s="1"/>
  <c r="J29" i="6" s="1"/>
  <c r="F41" i="6"/>
  <c r="G41" i="6" s="1"/>
  <c r="I41" i="6" s="1"/>
  <c r="J41" i="6" s="1"/>
  <c r="F44" i="6"/>
  <c r="G44" i="6" s="1"/>
  <c r="I44" i="6" s="1"/>
  <c r="J44" i="6" s="1"/>
  <c r="F47" i="6"/>
  <c r="G47" i="6" s="1"/>
  <c r="I47" i="6" s="1"/>
  <c r="J47" i="6" s="1"/>
  <c r="F50" i="6"/>
  <c r="G50" i="6" s="1"/>
  <c r="I50" i="6" s="1"/>
  <c r="J50" i="6" s="1"/>
  <c r="F53" i="6"/>
  <c r="G53" i="6" s="1"/>
  <c r="I53" i="6" s="1"/>
  <c r="J53" i="6" s="1"/>
  <c r="F56" i="6"/>
  <c r="G56" i="6" s="1"/>
  <c r="I56" i="6" s="1"/>
  <c r="J56" i="6" s="1"/>
  <c r="F62" i="6"/>
  <c r="G62" i="6" s="1"/>
  <c r="I62" i="6" s="1"/>
  <c r="J62" i="6" s="1"/>
  <c r="F65" i="6"/>
  <c r="G65" i="6" s="1"/>
  <c r="I65" i="6" s="1"/>
  <c r="J65" i="6" s="1"/>
  <c r="F68" i="6"/>
  <c r="G68" i="6" s="1"/>
  <c r="I68" i="6" s="1"/>
  <c r="J68" i="6" s="1"/>
  <c r="J10" i="5"/>
  <c r="J11" i="5"/>
  <c r="J13" i="5"/>
  <c r="J14" i="5"/>
  <c r="J15" i="5"/>
  <c r="K8" i="8"/>
  <c r="K10" i="8"/>
  <c r="K12" i="8"/>
  <c r="A8" i="9"/>
  <c r="A11" i="9"/>
  <c r="A14" i="9"/>
  <c r="A17" i="9"/>
  <c r="A20" i="9"/>
  <c r="A23" i="9"/>
  <c r="F21" i="11"/>
  <c r="F27" i="11"/>
  <c r="F12" i="6"/>
  <c r="G12" i="6" s="1"/>
  <c r="I12" i="6" s="1"/>
  <c r="J12" i="6" s="1"/>
  <c r="F15" i="6"/>
  <c r="G15" i="6" s="1"/>
  <c r="I15" i="6" s="1"/>
  <c r="J15" i="6" s="1"/>
  <c r="F18" i="6"/>
  <c r="G18" i="6" s="1"/>
  <c r="I18" i="6" s="1"/>
  <c r="J18" i="6" s="1"/>
  <c r="F21" i="6"/>
  <c r="G21" i="6" s="1"/>
  <c r="I21" i="6" s="1"/>
  <c r="J21" i="6" s="1"/>
  <c r="F24" i="6"/>
  <c r="G24" i="6" s="1"/>
  <c r="I24" i="6" s="1"/>
  <c r="J24" i="6" s="1"/>
  <c r="F27" i="6"/>
  <c r="G27" i="6" s="1"/>
  <c r="I27" i="6" s="1"/>
  <c r="J27" i="6" s="1"/>
  <c r="F30" i="6"/>
  <c r="G30" i="6" s="1"/>
  <c r="I30" i="6" s="1"/>
  <c r="J30" i="6" s="1"/>
  <c r="F33" i="6"/>
  <c r="G33" i="6" s="1"/>
  <c r="I33" i="6" s="1"/>
  <c r="J33" i="6" s="1"/>
  <c r="F36" i="6"/>
  <c r="G36" i="6" s="1"/>
  <c r="I36" i="6" s="1"/>
  <c r="J36" i="6" s="1"/>
  <c r="F39" i="6"/>
  <c r="G39" i="6" s="1"/>
  <c r="I39" i="6" s="1"/>
  <c r="J39" i="6" s="1"/>
  <c r="F42" i="6"/>
  <c r="G42" i="6" s="1"/>
  <c r="I42" i="6" s="1"/>
  <c r="J42" i="6" s="1"/>
  <c r="F45" i="6"/>
  <c r="G45" i="6" s="1"/>
  <c r="I45" i="6" s="1"/>
  <c r="J45" i="6" s="1"/>
  <c r="F48" i="6"/>
  <c r="G48" i="6" s="1"/>
  <c r="I48" i="6" s="1"/>
  <c r="J48" i="6" s="1"/>
  <c r="F51" i="6"/>
  <c r="G51" i="6" s="1"/>
  <c r="I51" i="6" s="1"/>
  <c r="J51" i="6" s="1"/>
  <c r="F54" i="6"/>
  <c r="G54" i="6" s="1"/>
  <c r="I54" i="6" s="1"/>
  <c r="J54" i="6" s="1"/>
  <c r="F57" i="6"/>
  <c r="G57" i="6" s="1"/>
  <c r="I57" i="6" s="1"/>
  <c r="J57" i="6" s="1"/>
  <c r="F60" i="6"/>
  <c r="G60" i="6" s="1"/>
  <c r="I60" i="6" s="1"/>
  <c r="J60" i="6" s="1"/>
  <c r="F63" i="6"/>
  <c r="G63" i="6" s="1"/>
  <c r="I63" i="6" s="1"/>
  <c r="J63" i="6" s="1"/>
  <c r="F66" i="6"/>
  <c r="G66" i="6" s="1"/>
  <c r="I66" i="6" s="1"/>
  <c r="J66" i="6" s="1"/>
  <c r="F69" i="6"/>
  <c r="G69" i="6" s="1"/>
  <c r="I69" i="6" s="1"/>
  <c r="J69" i="6" s="1"/>
  <c r="F72" i="6"/>
  <c r="G72" i="6" s="1"/>
  <c r="I72" i="6" s="1"/>
  <c r="J72" i="6" s="1"/>
  <c r="E9" i="11"/>
  <c r="C8" i="5"/>
  <c r="C12" i="5"/>
  <c r="C16" i="5"/>
  <c r="C20" i="5"/>
  <c r="C24" i="5"/>
  <c r="C28" i="5"/>
  <c r="C32" i="5"/>
  <c r="A9" i="9"/>
  <c r="A12" i="9"/>
  <c r="A15" i="9"/>
  <c r="A18" i="9"/>
  <c r="A21" i="9"/>
  <c r="A12" i="11"/>
  <c r="I12" i="11" s="1"/>
  <c r="A18" i="11"/>
  <c r="I18" i="11" s="1"/>
  <c r="A24" i="11"/>
  <c r="I24" i="11" s="1"/>
  <c r="F13" i="6"/>
  <c r="G13" i="6" s="1"/>
  <c r="I13" i="6" s="1"/>
  <c r="J13" i="6" s="1"/>
  <c r="F16" i="6"/>
  <c r="G16" i="6" s="1"/>
  <c r="I16" i="6" s="1"/>
  <c r="J16" i="6" s="1"/>
  <c r="F19" i="6"/>
  <c r="G19" i="6" s="1"/>
  <c r="I19" i="6" s="1"/>
  <c r="J19" i="6" s="1"/>
  <c r="F22" i="6"/>
  <c r="G22" i="6" s="1"/>
  <c r="I22" i="6" s="1"/>
  <c r="J22" i="6" s="1"/>
  <c r="F25" i="6"/>
  <c r="G25" i="6" s="1"/>
  <c r="I25" i="6" s="1"/>
  <c r="J25" i="6" s="1"/>
  <c r="F28" i="6"/>
  <c r="G28" i="6" s="1"/>
  <c r="I28" i="6" s="1"/>
  <c r="J28" i="6" s="1"/>
  <c r="F31" i="6"/>
  <c r="G31" i="6" s="1"/>
  <c r="I31" i="6" s="1"/>
  <c r="J31" i="6" s="1"/>
  <c r="F34" i="6"/>
  <c r="G34" i="6" s="1"/>
  <c r="I34" i="6" s="1"/>
  <c r="J34" i="6" s="1"/>
  <c r="F37" i="6"/>
  <c r="G37" i="6" s="1"/>
  <c r="I37" i="6" s="1"/>
  <c r="J37" i="6" s="1"/>
  <c r="F40" i="6"/>
  <c r="G40" i="6" s="1"/>
  <c r="I40" i="6" s="1"/>
  <c r="J40" i="6" s="1"/>
  <c r="F43" i="6"/>
  <c r="G43" i="6" s="1"/>
  <c r="I43" i="6" s="1"/>
  <c r="J43" i="6" s="1"/>
  <c r="F46" i="6"/>
  <c r="G46" i="6" s="1"/>
  <c r="I46" i="6" s="1"/>
  <c r="J46" i="6" s="1"/>
  <c r="F49" i="6"/>
  <c r="G49" i="6" s="1"/>
  <c r="I49" i="6" s="1"/>
  <c r="J49" i="6" s="1"/>
  <c r="F52" i="6"/>
  <c r="G52" i="6" s="1"/>
  <c r="I52" i="6" s="1"/>
  <c r="J52" i="6" s="1"/>
  <c r="F55" i="6"/>
  <c r="G55" i="6" s="1"/>
  <c r="I55" i="6" s="1"/>
  <c r="J55" i="6" s="1"/>
  <c r="F58" i="6"/>
  <c r="G58" i="6" s="1"/>
  <c r="I58" i="6" s="1"/>
  <c r="J58" i="6" s="1"/>
  <c r="F61" i="6"/>
  <c r="G61" i="6" s="1"/>
  <c r="I61" i="6" s="1"/>
  <c r="J61" i="6" s="1"/>
  <c r="F64" i="6"/>
  <c r="G64" i="6" s="1"/>
  <c r="I64" i="6" s="1"/>
  <c r="J64" i="6" s="1"/>
  <c r="F67" i="6"/>
  <c r="G67" i="6" s="1"/>
  <c r="I67" i="6" s="1"/>
  <c r="J67" i="6" s="1"/>
  <c r="F70" i="6"/>
  <c r="G70" i="6" s="1"/>
  <c r="I70" i="6" s="1"/>
  <c r="J70" i="6" s="1"/>
  <c r="K7" i="8"/>
  <c r="K9" i="8"/>
  <c r="K11" i="8"/>
  <c r="F18" i="11"/>
  <c r="F24" i="11"/>
  <c r="L19" i="11" l="1"/>
  <c r="L16" i="11"/>
  <c r="E77" i="5"/>
  <c r="E76" i="5"/>
  <c r="E89" i="5"/>
  <c r="C91" i="5"/>
  <c r="D91" i="5" s="1"/>
  <c r="E88" i="5"/>
  <c r="D88" i="5"/>
  <c r="E93" i="5"/>
  <c r="C95" i="5"/>
  <c r="D95" i="5" s="1"/>
  <c r="E92" i="5"/>
  <c r="L25" i="11"/>
  <c r="E81" i="5"/>
  <c r="E80" i="5"/>
  <c r="C83" i="5"/>
  <c r="D83" i="5" s="1"/>
  <c r="E69" i="5"/>
  <c r="C71" i="5"/>
  <c r="D71" i="5" s="1"/>
  <c r="E68" i="5"/>
  <c r="E37" i="5"/>
  <c r="C39" i="5"/>
  <c r="D39" i="5" s="1"/>
  <c r="E36" i="5"/>
  <c r="E57" i="5"/>
  <c r="E56" i="5"/>
  <c r="C59" i="5"/>
  <c r="D59" i="5" s="1"/>
  <c r="E65" i="5"/>
  <c r="C67" i="5"/>
  <c r="D67" i="5" s="1"/>
  <c r="E64" i="5"/>
  <c r="J28" i="11"/>
  <c r="L28" i="11" s="1"/>
  <c r="D80" i="5"/>
  <c r="E45" i="5"/>
  <c r="E44" i="5"/>
  <c r="C47" i="5"/>
  <c r="D47" i="5" s="1"/>
  <c r="E53" i="5"/>
  <c r="E52" i="5"/>
  <c r="C55" i="5"/>
  <c r="D55" i="5" s="1"/>
  <c r="J23" i="11"/>
  <c r="K23" i="11"/>
  <c r="E41" i="5"/>
  <c r="E40" i="5"/>
  <c r="C43" i="5"/>
  <c r="D43" i="5" s="1"/>
  <c r="E63" i="5"/>
  <c r="D62" i="5"/>
  <c r="E62" i="5"/>
  <c r="J26" i="11"/>
  <c r="K26" i="11"/>
  <c r="L22" i="11"/>
  <c r="J20" i="11"/>
  <c r="K20" i="11"/>
  <c r="I61" i="8"/>
  <c r="D52" i="5"/>
  <c r="I50" i="8"/>
  <c r="C10" i="9" s="1"/>
  <c r="D10" i="9" s="1"/>
  <c r="H10" i="8"/>
  <c r="H9" i="8"/>
  <c r="H13" i="8"/>
  <c r="H12" i="8"/>
  <c r="H8" i="8"/>
  <c r="H7" i="8"/>
  <c r="H11" i="8"/>
  <c r="C23" i="5"/>
  <c r="D23" i="5" s="1"/>
  <c r="E21" i="5"/>
  <c r="D20" i="5"/>
  <c r="E20" i="5"/>
  <c r="D23" i="9"/>
  <c r="C23" i="9"/>
  <c r="G18" i="11"/>
  <c r="C15" i="5"/>
  <c r="D15" i="5" s="1"/>
  <c r="E13" i="5"/>
  <c r="D12" i="5"/>
  <c r="E12" i="5"/>
  <c r="J27" i="11"/>
  <c r="K27" i="11"/>
  <c r="D17" i="9"/>
  <c r="C17" i="9"/>
  <c r="C16" i="9"/>
  <c r="D16" i="9"/>
  <c r="I64" i="8"/>
  <c r="C19" i="9"/>
  <c r="D19" i="9"/>
  <c r="I62" i="8"/>
  <c r="G24" i="11"/>
  <c r="C19" i="5"/>
  <c r="D19" i="5" s="1"/>
  <c r="E17" i="5"/>
  <c r="D16" i="5"/>
  <c r="E16" i="5"/>
  <c r="D20" i="9"/>
  <c r="C20" i="9"/>
  <c r="C22" i="9"/>
  <c r="D22" i="9"/>
  <c r="I63" i="8"/>
  <c r="C18" i="9"/>
  <c r="D18" i="9"/>
  <c r="J18" i="11"/>
  <c r="K18" i="11"/>
  <c r="C15" i="9"/>
  <c r="D15" i="9"/>
  <c r="J24" i="11"/>
  <c r="K24" i="11"/>
  <c r="C27" i="5"/>
  <c r="D27" i="5" s="1"/>
  <c r="E25" i="5"/>
  <c r="D24" i="5"/>
  <c r="E24" i="5"/>
  <c r="C25" i="9"/>
  <c r="D25" i="9"/>
  <c r="C21" i="9"/>
  <c r="D21" i="9"/>
  <c r="C31" i="5"/>
  <c r="D31" i="5" s="1"/>
  <c r="E29" i="5"/>
  <c r="D28" i="5"/>
  <c r="E28" i="5"/>
  <c r="E8" i="11"/>
  <c r="I60" i="8"/>
  <c r="I65" i="8"/>
  <c r="C35" i="5"/>
  <c r="D35" i="5" s="1"/>
  <c r="E33" i="5"/>
  <c r="D32" i="5"/>
  <c r="E32" i="5"/>
  <c r="C11" i="5"/>
  <c r="D11" i="5" s="1"/>
  <c r="D8" i="5"/>
  <c r="E8" i="5"/>
  <c r="E9" i="5"/>
  <c r="J21" i="11"/>
  <c r="K21" i="11"/>
  <c r="D14" i="9"/>
  <c r="C14" i="9"/>
  <c r="C13" i="9"/>
  <c r="D13" i="9"/>
  <c r="I53" i="8"/>
  <c r="I54" i="8" s="1"/>
  <c r="I88" i="8" s="1"/>
  <c r="I9" i="8" s="1"/>
  <c r="O53" i="8"/>
  <c r="P53" i="8" s="1"/>
  <c r="I59" i="8"/>
  <c r="C12" i="9" l="1"/>
  <c r="D12" i="9" s="1"/>
  <c r="L20" i="11"/>
  <c r="L23" i="11"/>
  <c r="I7" i="8"/>
  <c r="J7" i="8" s="1"/>
  <c r="L26" i="11"/>
  <c r="C8" i="9"/>
  <c r="D8" i="9" s="1"/>
  <c r="C11" i="9"/>
  <c r="D11" i="9" s="1"/>
  <c r="C9" i="9"/>
  <c r="D9" i="9" s="1"/>
  <c r="D7" i="9" s="1"/>
  <c r="J53" i="8"/>
  <c r="L21" i="11"/>
  <c r="L24" i="11"/>
  <c r="L18" i="11"/>
  <c r="J9" i="8"/>
  <c r="M61" i="8" s="1"/>
  <c r="I10" i="8"/>
  <c r="J10" i="8" s="1"/>
  <c r="L27" i="11"/>
  <c r="I8" i="8"/>
  <c r="J8" i="8" s="1"/>
  <c r="M60" i="8" s="1"/>
  <c r="I12" i="8"/>
  <c r="I13" i="8"/>
  <c r="J13" i="8" s="1"/>
  <c r="I11" i="8"/>
  <c r="L9" i="8" l="1"/>
  <c r="M9" i="8" s="1"/>
  <c r="N9" i="8" s="1"/>
  <c r="D11" i="11" s="1"/>
  <c r="F11" i="11" s="1"/>
  <c r="K11" i="11" s="1"/>
  <c r="L7" i="8"/>
  <c r="M7" i="8" s="1"/>
  <c r="N7" i="8" s="1"/>
  <c r="D9" i="11" s="1"/>
  <c r="F9" i="11" s="1"/>
  <c r="M59" i="8"/>
  <c r="L10" i="8"/>
  <c r="M10" i="8" s="1"/>
  <c r="N10" i="8" s="1"/>
  <c r="D12" i="11" s="1"/>
  <c r="F12" i="11" s="1"/>
  <c r="M62" i="8"/>
  <c r="L13" i="8"/>
  <c r="M13" i="8" s="1"/>
  <c r="N13" i="8" s="1"/>
  <c r="D15" i="11" s="1"/>
  <c r="F15" i="11" s="1"/>
  <c r="M65" i="8"/>
  <c r="L8" i="8"/>
  <c r="M8" i="8" s="1"/>
  <c r="N8" i="8" s="1"/>
  <c r="D10" i="11" s="1"/>
  <c r="F10" i="11" s="1"/>
  <c r="J10" i="11" s="1"/>
  <c r="J11" i="8"/>
  <c r="M63" i="8" s="1"/>
  <c r="L12" i="11"/>
  <c r="G12" i="11" s="1"/>
  <c r="L15" i="11"/>
  <c r="G15" i="11" s="1"/>
  <c r="J12" i="8"/>
  <c r="J11" i="11"/>
  <c r="K9" i="11" l="1"/>
  <c r="L11" i="8"/>
  <c r="M11" i="8" s="1"/>
  <c r="N11" i="8" s="1"/>
  <c r="D13" i="11" s="1"/>
  <c r="J9" i="11"/>
  <c r="K10" i="11"/>
  <c r="L10" i="11" s="1"/>
  <c r="L12" i="8"/>
  <c r="M12" i="8" s="1"/>
  <c r="N12" i="8" s="1"/>
  <c r="D14" i="11" s="1"/>
  <c r="L14" i="11" s="1"/>
  <c r="G14" i="11" s="1"/>
  <c r="M64" i="8"/>
  <c r="F14" i="11"/>
  <c r="J15" i="11"/>
  <c r="K15" i="11"/>
  <c r="J12" i="11"/>
  <c r="K12" i="11"/>
  <c r="L11" i="11"/>
  <c r="L9" i="11" l="1"/>
  <c r="G9" i="11" s="1"/>
  <c r="L13" i="11"/>
  <c r="G13" i="11" s="1"/>
  <c r="F13" i="11"/>
  <c r="J14" i="11"/>
  <c r="K14" i="11"/>
  <c r="K13" i="11" l="1"/>
  <c r="J13" i="11"/>
  <c r="F8" i="11"/>
</calcChain>
</file>

<file path=xl/sharedStrings.xml><?xml version="1.0" encoding="utf-8"?>
<sst xmlns="http://schemas.openxmlformats.org/spreadsheetml/2006/main" count="845" uniqueCount="449">
  <si>
    <t>계</t>
    <phoneticPr fontId="5" type="noConversion"/>
  </si>
  <si>
    <t>임산물시가조사서(원목)</t>
    <phoneticPr fontId="5" type="noConversion"/>
  </si>
  <si>
    <t>기 준 월 :</t>
    <phoneticPr fontId="5" type="noConversion"/>
  </si>
  <si>
    <t>산물 소재지에서 시장까지 거리(km)</t>
    <phoneticPr fontId="5" type="noConversion"/>
  </si>
  <si>
    <t>적용수량</t>
    <phoneticPr fontId="5" type="noConversion"/>
  </si>
  <si>
    <t>수종</t>
    <phoneticPr fontId="5" type="noConversion"/>
  </si>
  <si>
    <t>재종</t>
    <phoneticPr fontId="5" type="noConversion"/>
  </si>
  <si>
    <t>품등</t>
    <phoneticPr fontId="5" type="noConversion"/>
  </si>
  <si>
    <t xml:space="preserve">대 금 사 정 기 본 자 료 </t>
    <phoneticPr fontId="5" type="noConversion"/>
  </si>
  <si>
    <t xml:space="preserve">□ 산  물  소  재  지  :  </t>
    <phoneticPr fontId="5" type="noConversion"/>
  </si>
  <si>
    <t xml:space="preserve">  </t>
    <phoneticPr fontId="5" type="noConversion"/>
  </si>
  <si>
    <t xml:space="preserve">   □ 자료입력자 : </t>
    <phoneticPr fontId="5" type="noConversion"/>
  </si>
  <si>
    <t xml:space="preserve"> </t>
    <phoneticPr fontId="5" type="noConversion"/>
  </si>
  <si>
    <t>1. 벌목조재</t>
    <phoneticPr fontId="5" type="noConversion"/>
  </si>
  <si>
    <t>작  업  종</t>
    <phoneticPr fontId="5" type="noConversion"/>
  </si>
  <si>
    <t>ha 당</t>
    <phoneticPr fontId="5" type="noConversion"/>
  </si>
  <si>
    <t>평균거리</t>
    <phoneticPr fontId="5" type="noConversion"/>
  </si>
  <si>
    <t>1인 1일</t>
    <phoneticPr fontId="5" type="noConversion"/>
  </si>
  <si>
    <t>비고</t>
    <phoneticPr fontId="5" type="noConversion"/>
  </si>
  <si>
    <t>(m)</t>
    <phoneticPr fontId="5" type="noConversion"/>
  </si>
  <si>
    <t>작업공정</t>
    <phoneticPr fontId="5" type="noConversion"/>
  </si>
  <si>
    <t/>
  </si>
  <si>
    <t>택벌 및 간벌</t>
  </si>
  <si>
    <t>임 상</t>
    <phoneticPr fontId="5" type="noConversion"/>
  </si>
  <si>
    <t>1인 1일</t>
    <phoneticPr fontId="5" type="noConversion"/>
  </si>
  <si>
    <t>평균거리</t>
    <phoneticPr fontId="5" type="noConversion"/>
  </si>
  <si>
    <t>1인 1회</t>
    <phoneticPr fontId="5" type="noConversion"/>
  </si>
  <si>
    <t>비고</t>
    <phoneticPr fontId="5" type="noConversion"/>
  </si>
  <si>
    <t>연거리(km)</t>
    <phoneticPr fontId="5" type="noConversion"/>
  </si>
  <si>
    <t>(km)</t>
    <phoneticPr fontId="5" type="noConversion"/>
  </si>
  <si>
    <t>왕복회수</t>
    <phoneticPr fontId="5" type="noConversion"/>
  </si>
  <si>
    <t>적재(㎥)</t>
    <phoneticPr fontId="5" type="noConversion"/>
  </si>
  <si>
    <t>작업공정</t>
    <phoneticPr fontId="5" type="noConversion"/>
  </si>
  <si>
    <t>종  별</t>
    <phoneticPr fontId="5" type="noConversion"/>
  </si>
  <si>
    <t>단 위</t>
    <phoneticPr fontId="5" type="noConversion"/>
  </si>
  <si>
    <t>수 량</t>
    <phoneticPr fontId="5" type="noConversion"/>
  </si>
  <si>
    <t>공  정</t>
    <phoneticPr fontId="5" type="noConversion"/>
  </si>
  <si>
    <t>소요인원</t>
    <phoneticPr fontId="5" type="noConversion"/>
  </si>
  <si>
    <t>금액</t>
    <phoneticPr fontId="5" type="noConversion"/>
  </si>
  <si>
    <t>반영일수</t>
    <phoneticPr fontId="5" type="noConversion"/>
  </si>
  <si>
    <t>노면정지</t>
    <phoneticPr fontId="5" type="noConversion"/>
  </si>
  <si>
    <t>㎡</t>
    <phoneticPr fontId="5" type="noConversion"/>
  </si>
  <si>
    <t>-</t>
    <phoneticPr fontId="5" type="noConversion"/>
  </si>
  <si>
    <t>노면굴기</t>
    <phoneticPr fontId="5" type="noConversion"/>
  </si>
  <si>
    <t>상용인부</t>
    <phoneticPr fontId="5" type="noConversion"/>
  </si>
  <si>
    <t>km</t>
    <phoneticPr fontId="5" type="noConversion"/>
  </si>
  <si>
    <t>원</t>
    <phoneticPr fontId="5" type="noConversion"/>
  </si>
  <si>
    <t xml:space="preserve">  마. 기구손료(원/㎥) :</t>
    <phoneticPr fontId="5" type="noConversion"/>
  </si>
  <si>
    <t xml:space="preserve">  바. 산재보험(원/㎥):</t>
    <phoneticPr fontId="5" type="noConversion"/>
  </si>
  <si>
    <t>요 율(1000분율 ):</t>
    <phoneticPr fontId="5" type="noConversion"/>
  </si>
  <si>
    <t xml:space="preserve">  ·단 가 :</t>
    <phoneticPr fontId="5" type="noConversion"/>
  </si>
  <si>
    <t xml:space="preserve">  사. 기타경비(벌목·운반비의 3%이내) :</t>
    <phoneticPr fontId="5" type="noConversion"/>
  </si>
  <si>
    <t>%</t>
    <phoneticPr fontId="5" type="noConversion"/>
  </si>
  <si>
    <t>공종</t>
    <phoneticPr fontId="5" type="noConversion"/>
  </si>
  <si>
    <t>보통인부</t>
    <phoneticPr fontId="5" type="noConversion"/>
  </si>
  <si>
    <t>특별인부</t>
    <phoneticPr fontId="5" type="noConversion"/>
  </si>
  <si>
    <t>벌목부</t>
    <phoneticPr fontId="5" type="noConversion"/>
  </si>
  <si>
    <t>노임(일당)</t>
    <phoneticPr fontId="5" type="noConversion"/>
  </si>
  <si>
    <t xml:space="preserve">   가. 금리(연%)         :</t>
    <phoneticPr fontId="5" type="noConversion"/>
  </si>
  <si>
    <t>자본금에대한금리</t>
    <phoneticPr fontId="5" type="noConversion"/>
  </si>
  <si>
    <t xml:space="preserve">   나. 반 출 기 간        :</t>
    <phoneticPr fontId="5" type="noConversion"/>
  </si>
  <si>
    <t>자본액 이율</t>
    <phoneticPr fontId="5" type="noConversion"/>
  </si>
  <si>
    <t xml:space="preserve">   다. 자금회수기간(월):</t>
    <phoneticPr fontId="5" type="noConversion"/>
  </si>
  <si>
    <t>계수</t>
    <phoneticPr fontId="5" type="noConversion"/>
  </si>
  <si>
    <t xml:space="preserve">   라. 순이익(%)         : </t>
    <phoneticPr fontId="5" type="noConversion"/>
  </si>
  <si>
    <t xml:space="preserve">   마. 결손율(%)         :</t>
    <phoneticPr fontId="5" type="noConversion"/>
  </si>
  <si>
    <t>(가격:원)</t>
    <phoneticPr fontId="5" type="noConversion"/>
  </si>
  <si>
    <t>기 계 톱</t>
    <phoneticPr fontId="5" type="noConversion"/>
  </si>
  <si>
    <t>휘 발 유</t>
    <phoneticPr fontId="5" type="noConversion"/>
  </si>
  <si>
    <t>규 격 등</t>
    <phoneticPr fontId="5" type="noConversion"/>
  </si>
  <si>
    <t>수량</t>
    <phoneticPr fontId="5" type="noConversion"/>
  </si>
  <si>
    <t>가격</t>
    <phoneticPr fontId="5" type="noConversion"/>
  </si>
  <si>
    <t>단가</t>
    <phoneticPr fontId="5" type="noConversion"/>
  </si>
  <si>
    <t>1대</t>
    <phoneticPr fontId="5" type="noConversion"/>
  </si>
  <si>
    <t>-</t>
    <phoneticPr fontId="5" type="noConversion"/>
  </si>
  <si>
    <t>2. 위1항 + 경비(2%)</t>
  </si>
  <si>
    <t>집재공정</t>
    <phoneticPr fontId="5" type="noConversion"/>
  </si>
  <si>
    <t>천연림모두베기</t>
    <phoneticPr fontId="5" type="noConversion"/>
  </si>
  <si>
    <t>평균거리</t>
    <phoneticPr fontId="5" type="noConversion"/>
  </si>
  <si>
    <t>어려움(15이하)</t>
    <phoneticPr fontId="5" type="noConversion"/>
  </si>
  <si>
    <t>어려움(30이하)</t>
    <phoneticPr fontId="5" type="noConversion"/>
  </si>
  <si>
    <t>어려움(50이상)</t>
    <phoneticPr fontId="5" type="noConversion"/>
  </si>
  <si>
    <t>중(15이하)</t>
    <phoneticPr fontId="5" type="noConversion"/>
  </si>
  <si>
    <t>중(30이하)</t>
    <phoneticPr fontId="5" type="noConversion"/>
  </si>
  <si>
    <t>중(50이상)</t>
    <phoneticPr fontId="5" type="noConversion"/>
  </si>
  <si>
    <t>쉬움(15이하)</t>
    <phoneticPr fontId="5" type="noConversion"/>
  </si>
  <si>
    <t>쉬움(30이하)</t>
    <phoneticPr fontId="5" type="noConversion"/>
  </si>
  <si>
    <t>쉬움(50이상)</t>
    <phoneticPr fontId="5" type="noConversion"/>
  </si>
  <si>
    <t>인공림모두베기</t>
    <phoneticPr fontId="5" type="noConversion"/>
  </si>
  <si>
    <t>택벌및간벌</t>
    <phoneticPr fontId="5" type="noConversion"/>
  </si>
  <si>
    <t>해당없음</t>
    <phoneticPr fontId="3" type="noConversion"/>
  </si>
  <si>
    <t>운   반   비   용   산   출   기   초</t>
    <phoneticPr fontId="5" type="noConversion"/>
  </si>
  <si>
    <t>○ 산물소재지 :</t>
    <phoneticPr fontId="5" type="noConversion"/>
  </si>
  <si>
    <t xml:space="preserve">시장별 </t>
    <phoneticPr fontId="5" type="noConversion"/>
  </si>
  <si>
    <t>육     로</t>
    <phoneticPr fontId="5" type="noConversion"/>
  </si>
  <si>
    <t>㎥당운반비(원)</t>
    <phoneticPr fontId="5" type="noConversion"/>
  </si>
  <si>
    <t>적용</t>
    <phoneticPr fontId="5" type="noConversion"/>
  </si>
  <si>
    <t>구간구분</t>
    <phoneticPr fontId="5" type="noConversion"/>
  </si>
  <si>
    <t>차 량</t>
    <phoneticPr fontId="5" type="noConversion"/>
  </si>
  <si>
    <t>거리</t>
    <phoneticPr fontId="5" type="noConversion"/>
  </si>
  <si>
    <t>수종별</t>
    <phoneticPr fontId="5" type="noConversion"/>
  </si>
  <si>
    <t>운반비</t>
    <phoneticPr fontId="5" type="noConversion"/>
  </si>
  <si>
    <t>대상</t>
    <phoneticPr fontId="5" type="noConversion"/>
  </si>
  <si>
    <t>톤 급</t>
    <phoneticPr fontId="5" type="noConversion"/>
  </si>
  <si>
    <t>(km)</t>
    <phoneticPr fontId="5" type="noConversion"/>
  </si>
  <si>
    <t>『적용』</t>
    <phoneticPr fontId="5" type="noConversion"/>
  </si>
  <si>
    <t>침엽수</t>
    <phoneticPr fontId="5" type="noConversion"/>
  </si>
  <si>
    <t>활엽수</t>
    <phoneticPr fontId="5" type="noConversion"/>
  </si>
  <si>
    <t>-</t>
    <phoneticPr fontId="5" type="noConversion"/>
  </si>
  <si>
    <t>적 용 시 장 산 출 근 거</t>
    <phoneticPr fontId="5" type="noConversion"/>
  </si>
  <si>
    <t>□ 산 물 소 재 지 :</t>
    <phoneticPr fontId="5" type="noConversion"/>
  </si>
  <si>
    <t>수종</t>
    <phoneticPr fontId="5" type="noConversion"/>
  </si>
  <si>
    <t>재종</t>
    <phoneticPr fontId="5" type="noConversion"/>
  </si>
  <si>
    <t>품등</t>
    <phoneticPr fontId="5" type="noConversion"/>
  </si>
  <si>
    <t>시장</t>
    <phoneticPr fontId="5" type="noConversion"/>
  </si>
  <si>
    <t>㎥당 시가</t>
    <phoneticPr fontId="5" type="noConversion"/>
  </si>
  <si>
    <t>기업
이익
계수</t>
    <phoneticPr fontId="5" type="noConversion"/>
  </si>
  <si>
    <t>금액</t>
    <phoneticPr fontId="5" type="noConversion"/>
  </si>
  <si>
    <t>운반비</t>
    <phoneticPr fontId="5" type="noConversion"/>
  </si>
  <si>
    <t>계</t>
    <phoneticPr fontId="5" type="noConversion"/>
  </si>
  <si>
    <t>잔액</t>
    <phoneticPr fontId="5" type="noConversion"/>
  </si>
  <si>
    <t>적용
시장</t>
    <phoneticPr fontId="5" type="noConversion"/>
  </si>
  <si>
    <t>수종별·품등별 평균시가 산출기초</t>
    <phoneticPr fontId="5" type="noConversion"/>
  </si>
  <si>
    <t xml:space="preserve">□ 산 물 소 재 지 : </t>
    <phoneticPr fontId="5" type="noConversion"/>
  </si>
  <si>
    <t>수 종</t>
    <phoneticPr fontId="5" type="noConversion"/>
  </si>
  <si>
    <t>재 종</t>
    <phoneticPr fontId="5" type="noConversion"/>
  </si>
  <si>
    <t>품 등</t>
    <phoneticPr fontId="5" type="noConversion"/>
  </si>
  <si>
    <t>적 용
시 장</t>
    <phoneticPr fontId="5" type="noConversion"/>
  </si>
  <si>
    <t>㎥당시가</t>
    <phoneticPr fontId="5" type="noConversion"/>
  </si>
  <si>
    <t>품 등 별</t>
    <phoneticPr fontId="5" type="noConversion"/>
  </si>
  <si>
    <t>대금사정</t>
    <phoneticPr fontId="5" type="noConversion"/>
  </si>
  <si>
    <t>시장별
재적계</t>
    <phoneticPr fontId="5" type="noConversion"/>
  </si>
  <si>
    <t>비 고</t>
    <phoneticPr fontId="5" type="noConversion"/>
  </si>
  <si>
    <t>재 적</t>
    <phoneticPr fontId="5" type="noConversion"/>
  </si>
  <si>
    <t>비 율</t>
    <phoneticPr fontId="5" type="noConversion"/>
  </si>
  <si>
    <t>㎥당적용가</t>
    <phoneticPr fontId="5" type="noConversion"/>
  </si>
  <si>
    <t>임야주산물대금사정표(용재)검산</t>
    <phoneticPr fontId="5" type="noConversion"/>
  </si>
  <si>
    <t>○ 산물소재지 :</t>
    <phoneticPr fontId="5" type="noConversion"/>
  </si>
  <si>
    <t>수종</t>
    <phoneticPr fontId="5" type="noConversion"/>
  </si>
  <si>
    <t>용 도</t>
    <phoneticPr fontId="5" type="noConversion"/>
  </si>
  <si>
    <t>조재율</t>
    <phoneticPr fontId="5" type="noConversion"/>
  </si>
  <si>
    <t>시  장</t>
    <phoneticPr fontId="5" type="noConversion"/>
  </si>
  <si>
    <t>재적</t>
    <phoneticPr fontId="5" type="noConversion"/>
  </si>
  <si>
    <t>재적㎥에 대한(원)</t>
    <phoneticPr fontId="5" type="noConversion"/>
  </si>
  <si>
    <t>차 인</t>
    <phoneticPr fontId="5" type="noConversion"/>
  </si>
  <si>
    <t>산원</t>
    <phoneticPr fontId="5" type="noConversion"/>
  </si>
  <si>
    <t>또  는</t>
    <phoneticPr fontId="5" type="noConversion"/>
  </si>
  <si>
    <t>㎥당</t>
    <phoneticPr fontId="5" type="noConversion"/>
  </si>
  <si>
    <t>벌목조재</t>
    <phoneticPr fontId="5" type="noConversion"/>
  </si>
  <si>
    <t>운반비</t>
    <phoneticPr fontId="5" type="noConversion"/>
  </si>
  <si>
    <t>잡비</t>
    <phoneticPr fontId="5" type="noConversion"/>
  </si>
  <si>
    <t>기업</t>
    <phoneticPr fontId="5" type="noConversion"/>
  </si>
  <si>
    <t>계</t>
    <phoneticPr fontId="5" type="noConversion"/>
  </si>
  <si>
    <t>잔 액</t>
    <phoneticPr fontId="5" type="noConversion"/>
  </si>
  <si>
    <t>(%)</t>
    <phoneticPr fontId="5" type="noConversion"/>
  </si>
  <si>
    <t>수요처</t>
    <phoneticPr fontId="5" type="noConversion"/>
  </si>
  <si>
    <t>시가(원)</t>
    <phoneticPr fontId="5" type="noConversion"/>
  </si>
  <si>
    <t>(제재)비</t>
    <phoneticPr fontId="5" type="noConversion"/>
  </si>
  <si>
    <t>이익</t>
    <phoneticPr fontId="5" type="noConversion"/>
  </si>
  <si>
    <t>(원/㎥)</t>
    <phoneticPr fontId="5" type="noConversion"/>
  </si>
  <si>
    <t>대금(원)</t>
    <phoneticPr fontId="5" type="noConversion"/>
  </si>
  <si>
    <t xml:space="preserve">     </t>
    <phoneticPr fontId="5" type="noConversion"/>
  </si>
  <si>
    <t xml:space="preserve">      </t>
    <phoneticPr fontId="5" type="noConversion"/>
  </si>
  <si>
    <t>대       금       사       정       기       초</t>
    <phoneticPr fontId="5" type="noConversion"/>
  </si>
  <si>
    <t>1. 벌목조재의 난이</t>
    <phoneticPr fontId="5" type="noConversion"/>
  </si>
  <si>
    <t>가.</t>
    <phoneticPr fontId="5" type="noConversion"/>
  </si>
  <si>
    <t>나.</t>
    <phoneticPr fontId="5" type="noConversion"/>
  </si>
  <si>
    <t xml:space="preserve"> </t>
    <phoneticPr fontId="5" type="noConversion"/>
  </si>
  <si>
    <t>다.</t>
    <phoneticPr fontId="5" type="noConversion"/>
  </si>
  <si>
    <t>2. 산지 집재로부터 시장까지의 운반방법과 거리 및 편부</t>
    <phoneticPr fontId="5" type="noConversion"/>
  </si>
  <si>
    <t>라.</t>
    <phoneticPr fontId="5" type="noConversion"/>
  </si>
  <si>
    <t>바.</t>
    <phoneticPr fontId="5" type="noConversion"/>
  </si>
  <si>
    <t xml:space="preserve">자동차 운반 : </t>
    <phoneticPr fontId="5" type="noConversion"/>
  </si>
  <si>
    <t>3. 전 각호 사업에 대한 인부 1인 1일의 공정 및 임금</t>
    <phoneticPr fontId="5" type="noConversion"/>
  </si>
  <si>
    <t>구          분</t>
    <phoneticPr fontId="5" type="noConversion"/>
  </si>
  <si>
    <t>명 칭</t>
    <phoneticPr fontId="5" type="noConversion"/>
  </si>
  <si>
    <t>1인 1일의</t>
    <phoneticPr fontId="5" type="noConversion"/>
  </si>
  <si>
    <t>㎥당</t>
    <phoneticPr fontId="5" type="noConversion"/>
  </si>
  <si>
    <t>적          요</t>
    <phoneticPr fontId="5" type="noConversion"/>
  </si>
  <si>
    <t>공정(㎥)</t>
    <phoneticPr fontId="5" type="noConversion"/>
  </si>
  <si>
    <t>임금(원)</t>
    <phoneticPr fontId="5" type="noConversion"/>
  </si>
  <si>
    <t>경비(원)</t>
    <phoneticPr fontId="5" type="noConversion"/>
  </si>
  <si>
    <t>벌목제재비</t>
    <phoneticPr fontId="5" type="noConversion"/>
  </si>
  <si>
    <t>벌목조재비</t>
    <phoneticPr fontId="5" type="noConversion"/>
  </si>
  <si>
    <t>동 력</t>
    <phoneticPr fontId="5" type="noConversion"/>
  </si>
  <si>
    <t>벌목부 노임 적용</t>
    <phoneticPr fontId="5" type="noConversion"/>
  </si>
  <si>
    <t>기계경비</t>
    <phoneticPr fontId="5" type="noConversion"/>
  </si>
  <si>
    <t>산지운반비</t>
    <phoneticPr fontId="5" type="noConversion"/>
  </si>
  <si>
    <t>산 지 집 재</t>
    <phoneticPr fontId="5" type="noConversion"/>
  </si>
  <si>
    <t>인 력</t>
    <phoneticPr fontId="5" type="noConversion"/>
  </si>
  <si>
    <t>수 라 운 재</t>
    <phoneticPr fontId="5" type="noConversion"/>
  </si>
  <si>
    <t>특별인부 임금 적용</t>
    <phoneticPr fontId="5" type="noConversion"/>
  </si>
  <si>
    <t>저 나 르 기</t>
    <phoneticPr fontId="5" type="noConversion"/>
  </si>
  <si>
    <t>보통인부 임금 적용</t>
    <phoneticPr fontId="5" type="noConversion"/>
  </si>
  <si>
    <t>운   반   비</t>
    <phoneticPr fontId="5" type="noConversion"/>
  </si>
  <si>
    <t>자동차 및 열차 운임</t>
    <phoneticPr fontId="5" type="noConversion"/>
  </si>
  <si>
    <t>〃</t>
    <phoneticPr fontId="5" type="noConversion"/>
  </si>
  <si>
    <t>운재로구축</t>
    <phoneticPr fontId="5" type="noConversion"/>
  </si>
  <si>
    <t>신설(설계)</t>
    <phoneticPr fontId="5" type="noConversion"/>
  </si>
  <si>
    <t>운재로구축비산출기초 참조</t>
    <phoneticPr fontId="5" type="noConversion"/>
  </si>
  <si>
    <t>운반로수선</t>
    <phoneticPr fontId="5" type="noConversion"/>
  </si>
  <si>
    <t>운재로보수</t>
    <phoneticPr fontId="5" type="noConversion"/>
  </si>
  <si>
    <t>대금사정기본자료 참조</t>
    <phoneticPr fontId="5" type="noConversion"/>
  </si>
  <si>
    <t>운 반 비 계(자동차 및 열차운임과 상하차 비용 제외)</t>
    <phoneticPr fontId="5" type="noConversion"/>
  </si>
  <si>
    <t>적요란 참조</t>
    <phoneticPr fontId="5" type="noConversion"/>
  </si>
  <si>
    <t>4. 잡  비 :</t>
    <phoneticPr fontId="5" type="noConversion"/>
  </si>
  <si>
    <t xml:space="preserve"> ㎥당</t>
  </si>
  <si>
    <t>원 ※ 시장별 수종별 잡비는 별도 계상(운반비 적요란 참조)</t>
    <phoneticPr fontId="5" type="noConversion"/>
  </si>
  <si>
    <t>구            분</t>
    <phoneticPr fontId="5" type="noConversion"/>
  </si>
  <si>
    <t>구   분</t>
    <phoneticPr fontId="5" type="noConversion"/>
  </si>
  <si>
    <t>㎥당경비(원)</t>
    <phoneticPr fontId="5" type="noConversion"/>
  </si>
  <si>
    <t>기준 경비</t>
    <phoneticPr fontId="5" type="noConversion"/>
  </si>
  <si>
    <t>적 요(할당재적 및 반출기간, 기타 참고사항)</t>
    <phoneticPr fontId="5" type="noConversion"/>
  </si>
  <si>
    <t xml:space="preserve"> 기구손료</t>
    <phoneticPr fontId="5" type="noConversion"/>
  </si>
  <si>
    <t>역</t>
    <phoneticPr fontId="5" type="noConversion"/>
  </si>
  <si>
    <t xml:space="preserve"> 산재보험료</t>
    <phoneticPr fontId="5" type="noConversion"/>
  </si>
  <si>
    <t xml:space="preserve"> 기 타</t>
    <phoneticPr fontId="5" type="noConversion"/>
  </si>
  <si>
    <t>별도계산</t>
    <phoneticPr fontId="5" type="noConversion"/>
  </si>
  <si>
    <t>잡비계(기타 제외)</t>
    <phoneticPr fontId="5" type="noConversion"/>
  </si>
  <si>
    <t>기타경비는 운반비 적요란 참조</t>
    <phoneticPr fontId="5" type="noConversion"/>
  </si>
  <si>
    <t>5. 기업이익 산출기초</t>
    <phoneticPr fontId="5" type="noConversion"/>
  </si>
  <si>
    <t>이면, 자본액 이율은</t>
    <phoneticPr fontId="5" type="noConversion"/>
  </si>
  <si>
    <t>가 된다.</t>
    <phoneticPr fontId="5" type="noConversion"/>
  </si>
  <si>
    <t>따라서 시가에 대한 계수는</t>
  </si>
  <si>
    <t>이고,</t>
    <phoneticPr fontId="5" type="noConversion"/>
  </si>
  <si>
    <t xml:space="preserve">(산출식 : R/1+R) ※ R = 총 자본액에 대한 %를 소수화 한 값 </t>
    <phoneticPr fontId="5" type="noConversion"/>
  </si>
  <si>
    <t xml:space="preserve">기업이익은 (시가 × 계수)가 된다. </t>
    <phoneticPr fontId="5" type="noConversion"/>
  </si>
  <si>
    <t>6. 기타  참고  사항</t>
    <phoneticPr fontId="5" type="noConversion"/>
  </si>
  <si>
    <t>공시목조재비</t>
    <phoneticPr fontId="5" type="noConversion"/>
  </si>
  <si>
    <t>○ 소  재  지 :</t>
    <phoneticPr fontId="5" type="noConversion"/>
  </si>
  <si>
    <t>비  고</t>
    <phoneticPr fontId="5" type="noConversion"/>
  </si>
  <si>
    <t>수  종</t>
    <phoneticPr fontId="5" type="noConversion"/>
  </si>
  <si>
    <t>재 적(㎥)</t>
    <phoneticPr fontId="5" type="noConversion"/>
  </si>
  <si>
    <t>공시목</t>
    <phoneticPr fontId="5" type="noConversion"/>
  </si>
  <si>
    <t>금 액(원)</t>
    <phoneticPr fontId="5" type="noConversion"/>
  </si>
  <si>
    <t>비  고</t>
    <phoneticPr fontId="5" type="noConversion"/>
  </si>
  <si>
    <t>적용단가(원)</t>
    <phoneticPr fontId="5" type="noConversion"/>
  </si>
  <si>
    <t>계</t>
    <phoneticPr fontId="5" type="noConversion"/>
  </si>
  <si>
    <t>㎥당 평 균 단 가(사정가)</t>
    <phoneticPr fontId="5" type="noConversion"/>
  </si>
  <si>
    <t>□ 소 재 지 :</t>
    <phoneticPr fontId="5" type="noConversion"/>
  </si>
  <si>
    <t>수 종 별</t>
    <phoneticPr fontId="5" type="noConversion"/>
  </si>
  <si>
    <t>수      요      지      별</t>
    <phoneticPr fontId="5" type="noConversion"/>
  </si>
  <si>
    <t>시장</t>
    <phoneticPr fontId="5" type="noConversion"/>
  </si>
  <si>
    <t>사정단가</t>
    <phoneticPr fontId="5" type="noConversion"/>
  </si>
  <si>
    <t>재적(㎥)</t>
    <phoneticPr fontId="5" type="noConversion"/>
  </si>
  <si>
    <t>총  금  액</t>
    <phoneticPr fontId="5" type="noConversion"/>
  </si>
  <si>
    <t>평균단가</t>
    <phoneticPr fontId="5" type="noConversion"/>
  </si>
  <si>
    <t>(원)</t>
    <phoneticPr fontId="5" type="noConversion"/>
  </si>
  <si>
    <t>수종개수</t>
    <phoneticPr fontId="5" type="noConversion"/>
  </si>
  <si>
    <t>재적계</t>
    <phoneticPr fontId="5" type="noConversion"/>
  </si>
  <si>
    <t>금액계</t>
    <phoneticPr fontId="5" type="noConversion"/>
  </si>
  <si>
    <t>수 종 별   재 적 표</t>
    <phoneticPr fontId="5" type="noConversion"/>
  </si>
  <si>
    <t xml:space="preserve">1. 산  물  소  재  지 :      </t>
    <phoneticPr fontId="5" type="noConversion"/>
  </si>
  <si>
    <t xml:space="preserve">2. 재                  종 :   </t>
    <phoneticPr fontId="5" type="noConversion"/>
  </si>
  <si>
    <t xml:space="preserve">3. 면                  적 :   </t>
    <phoneticPr fontId="5" type="noConversion"/>
  </si>
  <si>
    <t>ha</t>
    <phoneticPr fontId="5" type="noConversion"/>
  </si>
  <si>
    <t xml:space="preserve">4. 반   출     기   간 :   </t>
    <phoneticPr fontId="5" type="noConversion"/>
  </si>
  <si>
    <t>개월</t>
    <phoneticPr fontId="5" type="noConversion"/>
  </si>
  <si>
    <t xml:space="preserve">5. 수 종 별     내 역 :   </t>
    <phoneticPr fontId="5" type="noConversion"/>
  </si>
  <si>
    <t>수종</t>
    <phoneticPr fontId="5" type="noConversion"/>
  </si>
  <si>
    <t>수 종
구 분</t>
    <phoneticPr fontId="5" type="noConversion"/>
  </si>
  <si>
    <t>본   수(본)</t>
    <phoneticPr fontId="5" type="noConversion"/>
  </si>
  <si>
    <t>재 적(㎥)</t>
    <phoneticPr fontId="5" type="noConversion"/>
  </si>
  <si>
    <t>용도</t>
    <phoneticPr fontId="5" type="noConversion"/>
  </si>
  <si>
    <t>조재율(%)</t>
    <phoneticPr fontId="5" type="noConversion"/>
  </si>
  <si>
    <t>생산지정</t>
    <phoneticPr fontId="5" type="noConversion"/>
  </si>
  <si>
    <t>계</t>
    <phoneticPr fontId="5" type="noConversion"/>
  </si>
  <si>
    <t>집재거리</t>
    <phoneticPr fontId="5" type="noConversion"/>
  </si>
  <si>
    <t>ha당 수집</t>
    <phoneticPr fontId="5" type="noConversion"/>
  </si>
  <si>
    <t>가능재적</t>
    <phoneticPr fontId="3" type="noConversion"/>
  </si>
  <si>
    <t>경사도</t>
    <phoneticPr fontId="5" type="noConversion"/>
  </si>
  <si>
    <t>소운반거리</t>
    <phoneticPr fontId="5" type="noConversion"/>
  </si>
  <si>
    <t>지    형</t>
    <phoneticPr fontId="5" type="noConversion"/>
  </si>
  <si>
    <t>원목재적</t>
    <phoneticPr fontId="5" type="noConversion"/>
  </si>
  <si>
    <t>벌도목</t>
    <phoneticPr fontId="5" type="noConversion"/>
  </si>
  <si>
    <t>경사도</t>
    <phoneticPr fontId="5" type="noConversion"/>
  </si>
  <si>
    <t>장애물의 종류와 정도</t>
    <phoneticPr fontId="5" type="noConversion"/>
  </si>
  <si>
    <t>1인 1일</t>
    <phoneticPr fontId="5" type="noConversion"/>
  </si>
  <si>
    <t>비고</t>
    <phoneticPr fontId="5" type="noConversion"/>
  </si>
  <si>
    <t>평균경급</t>
    <phoneticPr fontId="5" type="noConversion"/>
  </si>
  <si>
    <t>작업공정</t>
    <phoneticPr fontId="5" type="noConversion"/>
  </si>
  <si>
    <t>해당없음</t>
  </si>
  <si>
    <t xml:space="preserve">     가. 박피   :</t>
    <phoneticPr fontId="5" type="noConversion"/>
  </si>
  <si>
    <t>공시목 수량</t>
    <phoneticPr fontId="3" type="noConversion"/>
  </si>
  <si>
    <t>-</t>
    <phoneticPr fontId="3" type="noConversion"/>
  </si>
  <si>
    <t>산지-시장(대운반)</t>
    <phoneticPr fontId="5" type="noConversion"/>
  </si>
  <si>
    <t>산지-중토장(소운반)
중토장-시장(대운반)</t>
    <phoneticPr fontId="5" type="noConversion"/>
  </si>
  <si>
    <t>공시목 반영 유형(다음중 택일)</t>
    <phoneticPr fontId="3" type="noConversion"/>
  </si>
  <si>
    <t>재료비</t>
    <phoneticPr fontId="5" type="noConversion"/>
  </si>
  <si>
    <t>박피</t>
    <phoneticPr fontId="5" type="noConversion"/>
  </si>
  <si>
    <t>제재비</t>
    <phoneticPr fontId="5" type="noConversion"/>
  </si>
  <si>
    <t>제재비</t>
    <phoneticPr fontId="3" type="noConversion"/>
  </si>
  <si>
    <t>벌 목 제 재 비 계(박피제외)</t>
    <phoneticPr fontId="5" type="noConversion"/>
  </si>
  <si>
    <t>벌 목 제 재 비 계(박피포함)</t>
    <phoneticPr fontId="5" type="noConversion"/>
  </si>
  <si>
    <t>※ 공시목 반영 유형(다음중 택일)</t>
    <phoneticPr fontId="5" type="noConversion"/>
  </si>
  <si>
    <t>박피 여부(Y,N)</t>
    <phoneticPr fontId="3" type="noConversion"/>
  </si>
  <si>
    <t>1. 벌목제재비</t>
    <phoneticPr fontId="5" type="noConversion"/>
  </si>
  <si>
    <t>3. 1항 - 지타·박피</t>
    <phoneticPr fontId="5" type="noConversion"/>
  </si>
  <si>
    <t>5. 미반영</t>
    <phoneticPr fontId="5" type="noConversion"/>
  </si>
  <si>
    <t xml:space="preserve">(㎥/1인/1일) </t>
    <phoneticPr fontId="5" type="noConversion"/>
  </si>
  <si>
    <t>계/재적</t>
    <phoneticPr fontId="5" type="noConversion"/>
  </si>
  <si>
    <t>체인톱</t>
    <phoneticPr fontId="5" type="noConversion"/>
  </si>
  <si>
    <t>벌도목구분</t>
    <phoneticPr fontId="3" type="noConversion"/>
  </si>
  <si>
    <t>평균경급</t>
    <phoneticPr fontId="3" type="noConversion"/>
  </si>
  <si>
    <t>경사도</t>
    <phoneticPr fontId="3" type="noConversion"/>
  </si>
  <si>
    <t>장애물의 정도</t>
    <phoneticPr fontId="3" type="noConversion"/>
  </si>
  <si>
    <t>할증율(%)</t>
    <phoneticPr fontId="3" type="noConversion"/>
  </si>
  <si>
    <t>단목</t>
    <phoneticPr fontId="3" type="noConversion"/>
  </si>
  <si>
    <t>완(15도 미만)</t>
    <phoneticPr fontId="3" type="noConversion"/>
  </si>
  <si>
    <t>급(30도 초과)</t>
    <phoneticPr fontId="3" type="noConversion"/>
  </si>
  <si>
    <t>할인할증율(%) :</t>
    <phoneticPr fontId="3" type="noConversion"/>
  </si>
  <si>
    <t>2. 우드그랩 집재</t>
    <phoneticPr fontId="5" type="noConversion"/>
  </si>
  <si>
    <t>굴삭기</t>
    <phoneticPr fontId="5" type="noConversion"/>
  </si>
  <si>
    <t>최대집재거리</t>
    <phoneticPr fontId="3" type="noConversion"/>
  </si>
  <si>
    <t>ha 당</t>
    <phoneticPr fontId="5" type="noConversion"/>
  </si>
  <si>
    <t>원목의</t>
    <phoneticPr fontId="3" type="noConversion"/>
  </si>
  <si>
    <t>1인 1일</t>
    <phoneticPr fontId="5" type="noConversion"/>
  </si>
  <si>
    <t>집재사면의</t>
    <phoneticPr fontId="5" type="noConversion"/>
  </si>
  <si>
    <t>경사도</t>
    <phoneticPr fontId="5" type="noConversion"/>
  </si>
  <si>
    <t>우드그랩</t>
    <phoneticPr fontId="3" type="noConversion"/>
  </si>
  <si>
    <t>(m)</t>
    <phoneticPr fontId="3" type="noConversion"/>
  </si>
  <si>
    <t>원목재적</t>
    <phoneticPr fontId="5" type="noConversion"/>
  </si>
  <si>
    <t>길이(m)</t>
    <phoneticPr fontId="3" type="noConversion"/>
  </si>
  <si>
    <t>작업공정</t>
    <phoneticPr fontId="5" type="noConversion"/>
  </si>
  <si>
    <t>상태</t>
    <phoneticPr fontId="5" type="noConversion"/>
  </si>
  <si>
    <t>잔존본수</t>
    <phoneticPr fontId="3" type="noConversion"/>
  </si>
  <si>
    <t>굴삭기우드그랩</t>
    <phoneticPr fontId="3" type="noConversion"/>
  </si>
  <si>
    <t>원목의 길이</t>
    <phoneticPr fontId="3" type="noConversion"/>
  </si>
  <si>
    <t>ha당원목재적</t>
    <phoneticPr fontId="3" type="noConversion"/>
  </si>
  <si>
    <t>집재사면의상태</t>
    <phoneticPr fontId="3" type="noConversion"/>
  </si>
  <si>
    <t>경사도</t>
    <phoneticPr fontId="3" type="noConversion"/>
  </si>
  <si>
    <t>해당없음</t>
    <phoneticPr fontId="3" type="noConversion"/>
  </si>
  <si>
    <t>적용</t>
    <phoneticPr fontId="3" type="noConversion"/>
  </si>
  <si>
    <t>40m이하</t>
    <phoneticPr fontId="3" type="noConversion"/>
  </si>
  <si>
    <t>1.2m</t>
    <phoneticPr fontId="3" type="noConversion"/>
  </si>
  <si>
    <t>80m이하</t>
    <phoneticPr fontId="3" type="noConversion"/>
  </si>
  <si>
    <t>1.8m</t>
    <phoneticPr fontId="3" type="noConversion"/>
  </si>
  <si>
    <t>2.1m</t>
    <phoneticPr fontId="3" type="noConversion"/>
  </si>
  <si>
    <t>2.7m</t>
    <phoneticPr fontId="3" type="noConversion"/>
  </si>
  <si>
    <t>3.6m</t>
    <phoneticPr fontId="3" type="noConversion"/>
  </si>
  <si>
    <t>천연림 모두베기</t>
    <phoneticPr fontId="3" type="noConversion"/>
  </si>
  <si>
    <t>인공림 모두베기</t>
    <phoneticPr fontId="5" type="noConversion"/>
  </si>
  <si>
    <t>경사도</t>
    <phoneticPr fontId="3" type="noConversion"/>
  </si>
  <si>
    <t>소운반거리</t>
    <phoneticPr fontId="3" type="noConversion"/>
  </si>
  <si>
    <t>할인할증</t>
    <phoneticPr fontId="3" type="noConversion"/>
  </si>
  <si>
    <t>해당없음</t>
    <phoneticPr fontId="3" type="noConversion"/>
  </si>
  <si>
    <t>완(15도 미만)</t>
    <phoneticPr fontId="3" type="noConversion"/>
  </si>
  <si>
    <t>0-5m</t>
    <phoneticPr fontId="3" type="noConversion"/>
  </si>
  <si>
    <t>중(15도-30도)</t>
    <phoneticPr fontId="3" type="noConversion"/>
  </si>
  <si>
    <t>6-10m</t>
    <phoneticPr fontId="3" type="noConversion"/>
  </si>
  <si>
    <t>급(30도 초과)</t>
    <phoneticPr fontId="3" type="noConversion"/>
  </si>
  <si>
    <t>11-20m</t>
    <phoneticPr fontId="3" type="noConversion"/>
  </si>
  <si>
    <t>할인할증율(%) :</t>
    <phoneticPr fontId="3" type="noConversion"/>
  </si>
  <si>
    <t>4. 수라집재</t>
    <phoneticPr fontId="5" type="noConversion"/>
  </si>
  <si>
    <t>5. 저나르기</t>
    <phoneticPr fontId="5" type="noConversion"/>
  </si>
  <si>
    <t>6. 자동차 운반</t>
    <phoneticPr fontId="5" type="noConversion"/>
  </si>
  <si>
    <t>7. 운재로 보수</t>
    <phoneticPr fontId="5" type="noConversion"/>
  </si>
  <si>
    <t>8. 운재로(신설) 등 :  ㎥당</t>
    <phoneticPr fontId="5" type="noConversion"/>
  </si>
  <si>
    <t>건설기계
운전기사</t>
    <phoneticPr fontId="3" type="noConversion"/>
  </si>
  <si>
    <t>굴삭기우드그랩(집게포함)</t>
    <phoneticPr fontId="5" type="noConversion"/>
  </si>
  <si>
    <t>경유</t>
    <phoneticPr fontId="5" type="noConversion"/>
  </si>
  <si>
    <t>규 격 등</t>
    <phoneticPr fontId="5" type="noConversion"/>
  </si>
  <si>
    <t>수량</t>
    <phoneticPr fontId="5" type="noConversion"/>
  </si>
  <si>
    <t>가격</t>
    <phoneticPr fontId="5" type="noConversion"/>
  </si>
  <si>
    <t>단가</t>
    <phoneticPr fontId="5" type="noConversion"/>
  </si>
  <si>
    <t>굴삭기</t>
    <phoneticPr fontId="5" type="noConversion"/>
  </si>
  <si>
    <t>1대</t>
    <phoneticPr fontId="5" type="noConversion"/>
  </si>
  <si>
    <t xml:space="preserve">:  ㎥당 </t>
    <phoneticPr fontId="5" type="noConversion"/>
  </si>
  <si>
    <t>원</t>
    <phoneticPr fontId="5" type="noConversion"/>
  </si>
  <si>
    <t xml:space="preserve">9. 기타비용 </t>
    <phoneticPr fontId="3" type="noConversion"/>
  </si>
  <si>
    <t>10. 잡 비</t>
    <phoneticPr fontId="5" type="noConversion"/>
  </si>
  <si>
    <t>11. 노임단가</t>
    <phoneticPr fontId="5" type="noConversion"/>
  </si>
  <si>
    <t>12. 기업이익</t>
    <phoneticPr fontId="5" type="noConversion"/>
  </si>
  <si>
    <t>13. 기계 경비</t>
    <phoneticPr fontId="5" type="noConversion"/>
  </si>
  <si>
    <t>박피 대상
재적(㎥)</t>
    <phoneticPr fontId="3" type="noConversion"/>
  </si>
  <si>
    <t>14. 박피 공시목 수량 적용내역</t>
    <phoneticPr fontId="5" type="noConversion"/>
  </si>
  <si>
    <t>15. 참고사항</t>
    <phoneticPr fontId="5" type="noConversion"/>
  </si>
  <si>
    <t>굴삭기우드그랩 집재</t>
    <phoneticPr fontId="5" type="noConversion"/>
  </si>
  <si>
    <t>직접인건비</t>
    <phoneticPr fontId="5" type="noConversion"/>
  </si>
  <si>
    <t>건설기계운전기사</t>
    <phoneticPr fontId="5" type="noConversion"/>
  </si>
  <si>
    <t>기계경비</t>
    <phoneticPr fontId="5" type="noConversion"/>
  </si>
  <si>
    <t>굴삭기우드그랩(집게부착)</t>
    <phoneticPr fontId="3" type="noConversion"/>
  </si>
  <si>
    <t>재료비</t>
    <phoneticPr fontId="5" type="noConversion"/>
  </si>
  <si>
    <t>굴삭기 우드그랩 집재 계</t>
    <phoneticPr fontId="5" type="noConversion"/>
  </si>
  <si>
    <t>보통인부 임금 적용</t>
    <phoneticPr fontId="5" type="noConversion"/>
  </si>
  <si>
    <t>전체재적</t>
    <phoneticPr fontId="3" type="noConversion"/>
  </si>
  <si>
    <t>박피재적</t>
    <phoneticPr fontId="3" type="noConversion"/>
  </si>
  <si>
    <t>박피율(%)</t>
    <phoneticPr fontId="3" type="noConversion"/>
  </si>
  <si>
    <t>중토장
운영여부
(Y,N)</t>
    <phoneticPr fontId="5" type="noConversion"/>
  </si>
  <si>
    <t>산지에서의 적용톤급</t>
    <phoneticPr fontId="5" type="noConversion"/>
  </si>
  <si>
    <t>중토장에서의 적용톤급</t>
    <phoneticPr fontId="5" type="noConversion"/>
  </si>
  <si>
    <t>산지 → 중토장까지의 거리(km)</t>
    <phoneticPr fontId="5" type="noConversion"/>
  </si>
  <si>
    <t>적용톤급과 무관</t>
    <phoneticPr fontId="3" type="noConversion"/>
  </si>
  <si>
    <t>41-60㎥</t>
  </si>
  <si>
    <t>81㎥이상</t>
  </si>
  <si>
    <t>토질, 하층식생, 돌, 도랑, 커브길, 구배 등으로 주행이 매우 힘들다</t>
  </si>
  <si>
    <t>토질, 하층식생, 돌, 도랑, 커브길, 구배 등으로 주행이 다소 힘들다</t>
  </si>
  <si>
    <t>주행에 어려움이 없다</t>
  </si>
  <si>
    <t>15도 이하</t>
  </si>
  <si>
    <t>70본 이하(잔존목간 거리 12m 이상)혹은 군상 존치</t>
  </si>
  <si>
    <t>71본 - 100본 미만(잔존목간거리: 12-10m)</t>
  </si>
  <si>
    <t>100본 이상- 130본 이하(잔존목간거리: 10-8.8m)</t>
  </si>
  <si>
    <t>15-25도 이하</t>
    <phoneticPr fontId="3" type="noConversion"/>
  </si>
  <si>
    <t>중(15-30도이하)</t>
    <phoneticPr fontId="3" type="noConversion"/>
  </si>
  <si>
    <t>무릎높이 이하 초본ㆍ관목</t>
  </si>
  <si>
    <t>가슴높이 미만 초본ㆍ관목</t>
  </si>
  <si>
    <t>20cm 미만</t>
    <phoneticPr fontId="3" type="noConversion"/>
  </si>
  <si>
    <t>30cm 이상</t>
    <phoneticPr fontId="3" type="noConversion"/>
  </si>
  <si>
    <t>20-30cm</t>
    <phoneticPr fontId="3" type="noConversion"/>
  </si>
  <si>
    <t>가슴높이 이상 초본ㆍ관목</t>
    <phoneticPr fontId="3" type="noConversion"/>
  </si>
  <si>
    <t>3. 산지집재</t>
    <phoneticPr fontId="5" type="noConversion"/>
  </si>
  <si>
    <t>강릉 54임반 4(라)소반 외 1 개소</t>
  </si>
  <si>
    <t>입목</t>
  </si>
  <si>
    <t>강원지방소나무</t>
  </si>
  <si>
    <t>침엽수</t>
  </si>
  <si>
    <t>제재</t>
  </si>
  <si>
    <t>강원지방소나무 산업</t>
  </si>
  <si>
    <t>칩,펄프</t>
  </si>
  <si>
    <t>낙엽송</t>
  </si>
  <si>
    <t>낙엽송 산업</t>
  </si>
  <si>
    <t>기타활엽수 산업</t>
  </si>
  <si>
    <t>활엽수</t>
  </si>
  <si>
    <t>2020. 12</t>
  </si>
  <si>
    <t>동해시</t>
  </si>
  <si>
    <t>강릉시</t>
  </si>
  <si>
    <t>삼척시</t>
  </si>
  <si>
    <t>양양군</t>
  </si>
  <si>
    <t>영주시</t>
  </si>
  <si>
    <t>안동시</t>
  </si>
  <si>
    <t>춘천시</t>
  </si>
  <si>
    <t>포천시</t>
  </si>
  <si>
    <t>남원시</t>
  </si>
  <si>
    <t>광주광역시</t>
  </si>
  <si>
    <t>순천시</t>
  </si>
  <si>
    <t>나주시</t>
  </si>
  <si>
    <t>1등</t>
  </si>
  <si>
    <t>2등</t>
  </si>
  <si>
    <t>3등</t>
  </si>
  <si>
    <t>원료재</t>
  </si>
  <si>
    <t>단목</t>
  </si>
  <si>
    <t>20-30cm</t>
  </si>
  <si>
    <t>중(15-30도이하)</t>
  </si>
  <si>
    <t>적용</t>
  </si>
  <si>
    <t>80m 이하</t>
  </si>
  <si>
    <t>-</t>
  </si>
  <si>
    <t>N</t>
  </si>
  <si>
    <t>1</t>
  </si>
  <si>
    <t>기타활엽수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</si>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</sst>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1" formatCode="_-* #,##0_-;\-* #,##0_-;_-* &quot;-&quot;_-;_-@_-"/>
    <numFmt numFmtId="176" formatCode="#,##0.000_ "/>
    <numFmt numFmtId="177" formatCode="#,##0.00_);[Red]\(#,##0.00\)"/>
    <numFmt numFmtId="178" formatCode="#,##0_);[Red]\(#,##0\)"/>
    <numFmt numFmtId="179" formatCode="#,##0_ "/>
    <numFmt numFmtId="180" formatCode="#,##0.00_ "/>
    <numFmt numFmtId="181" formatCode="#,##0.0_);[Red]\(#,##0.0\)"/>
    <numFmt numFmtId="182" formatCode="#,##0.0_ "/>
    <numFmt numFmtId="183" formatCode="0_);[Red]\(0\)"/>
    <numFmt numFmtId="184" formatCode="0.000_ "/>
    <numFmt numFmtId="185" formatCode="0.0_ "/>
    <numFmt numFmtId="186" formatCode="###&quot; m이하&quot;"/>
    <numFmt numFmtId="187" formatCode="#.#&quot;인/100㎡&quot;"/>
    <numFmt numFmtId="188" formatCode="&quot;1인/&quot;#.#&quot;km&quot;"/>
    <numFmt numFmtId="189" formatCode="##.0&quot; ℓ&quot;"/>
    <numFmt numFmtId="190" formatCode="0.0_);[Red]\(0.0\)"/>
    <numFmt numFmtId="191" formatCode="#,##0_ ;[Red]\-#,##0\ "/>
    <numFmt numFmtId="192" formatCode="&quot;할인할증율비용 &quot;###,###"/>
    <numFmt numFmtId="193" formatCode="&quot;상하차비 &quot;###,###"/>
    <numFmt numFmtId="194" formatCode="&quot;기타경비 &quot;###,###"/>
    <numFmt numFmtId="195" formatCode="&quot;㎥당 &quot;###,###,###&quot;원&quot;"/>
    <numFmt numFmtId="196" formatCode="###.0&quot;%&quot;"/>
    <numFmt numFmtId="197" formatCode="&quot;벌목조재비의 &quot;###.0&quot;%&quot;"/>
    <numFmt numFmtId="198" formatCode="###.00&quot;%&quot;"/>
    <numFmt numFmtId="199" formatCode="_-* #,##0.00_-;\-* #,##0.00_-;_-* &quot;-&quot;_-;_-@_-"/>
    <numFmt numFmtId="200" formatCode="0.00_ "/>
    <numFmt numFmtId="201" formatCode="0.00_);[Red]\(0.00\)"/>
    <numFmt numFmtId="202" formatCode="_-* #,##0.000_-;\-* #,##0.000_-;_-* &quot;-&quot;_-;_-@_-"/>
    <numFmt numFmtId="203" formatCode="0.0"/>
    <numFmt numFmtId="204" formatCode="#,##0.000_);[Red]\(#,##0.000\)"/>
    <numFmt numFmtId="205" formatCode="#&quot; %&quot;"/>
    <numFmt numFmtId="206" formatCode="&quot;할인할증비용&quot;\ ###,###&quot;원/㎥&quot;"/>
    <numFmt numFmtId="207" formatCode="0.000"/>
    <numFmt numFmtId="208" formatCode="#,##0.00_ ;[Red]\-#,##0.00\ "/>
  </numFmts>
  <fonts count="3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굴림"/>
      <family val="3"/>
      <charset val="129"/>
    </font>
    <font>
      <sz val="8"/>
      <name val="맑은 고딕"/>
      <family val="2"/>
      <charset val="129"/>
      <scheme val="minor"/>
    </font>
    <font>
      <b/>
      <sz val="18"/>
      <name val="굴림"/>
      <family val="3"/>
      <charset val="129"/>
    </font>
    <font>
      <sz val="8"/>
      <name val="돋움"/>
      <family val="3"/>
      <charset val="129"/>
    </font>
    <font>
      <b/>
      <sz val="11"/>
      <name val="굴림"/>
      <family val="3"/>
      <charset val="129"/>
    </font>
    <font>
      <sz val="11"/>
      <color indexed="10"/>
      <name val="굴림"/>
      <family val="3"/>
      <charset val="129"/>
    </font>
    <font>
      <b/>
      <sz val="14"/>
      <name val="굴림"/>
      <family val="3"/>
      <charset val="129"/>
    </font>
    <font>
      <sz val="10"/>
      <color indexed="9"/>
      <name val="굴림"/>
      <family val="3"/>
      <charset val="129"/>
    </font>
    <font>
      <sz val="9"/>
      <name val="굴림"/>
      <family val="3"/>
      <charset val="129"/>
    </font>
    <font>
      <sz val="11"/>
      <color indexed="48"/>
      <name val="굴림"/>
      <family val="3"/>
      <charset val="129"/>
    </font>
    <font>
      <sz val="10"/>
      <name val="굴림"/>
      <family val="3"/>
      <charset val="129"/>
    </font>
    <font>
      <sz val="11"/>
      <color indexed="9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name val="돋움"/>
      <family val="3"/>
      <charset val="129"/>
    </font>
    <font>
      <b/>
      <sz val="11"/>
      <color indexed="10"/>
      <name val="굴림"/>
      <family val="3"/>
      <charset val="129"/>
    </font>
    <font>
      <sz val="11"/>
      <color rgb="FFFF0000"/>
      <name val="굴림"/>
      <family val="3"/>
      <charset val="129"/>
    </font>
    <font>
      <sz val="9"/>
      <name val="돋움"/>
      <family val="3"/>
      <charset val="129"/>
    </font>
    <font>
      <b/>
      <sz val="16"/>
      <color indexed="12"/>
      <name val="굴림"/>
      <family val="3"/>
      <charset val="129"/>
    </font>
    <font>
      <b/>
      <sz val="9"/>
      <name val="굴림"/>
      <family val="3"/>
      <charset val="129"/>
    </font>
    <font>
      <b/>
      <sz val="10"/>
      <name val="굴림"/>
      <family val="3"/>
      <charset val="129"/>
    </font>
    <font>
      <sz val="18"/>
      <name val="굴림"/>
      <family val="3"/>
      <charset val="129"/>
    </font>
    <font>
      <sz val="11"/>
      <name val="굴림체"/>
      <family val="3"/>
      <charset val="129"/>
    </font>
    <font>
      <sz val="11"/>
      <color indexed="35"/>
      <name val="굴림체"/>
      <family val="3"/>
      <charset val="129"/>
    </font>
    <font>
      <b/>
      <sz val="12"/>
      <name val="굴림체"/>
      <family val="3"/>
      <charset val="129"/>
    </font>
    <font>
      <b/>
      <sz val="12"/>
      <name val="굴림"/>
      <family val="3"/>
      <charset val="129"/>
    </font>
    <font>
      <b/>
      <sz val="20"/>
      <name val="굴림"/>
      <family val="3"/>
      <charset val="129"/>
    </font>
    <font>
      <sz val="11"/>
      <color indexed="12"/>
      <name val="굴림"/>
      <family val="3"/>
      <charset val="129"/>
    </font>
    <font>
      <sz val="12"/>
      <name val="굴림"/>
      <family val="3"/>
      <charset val="129"/>
    </font>
    <font>
      <b/>
      <sz val="10"/>
      <color indexed="12"/>
      <name val="굴림"/>
      <family val="3"/>
      <charset val="129"/>
    </font>
    <font>
      <b/>
      <sz val="11"/>
      <color rgb="FFFF0000"/>
      <name val="굴림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Dot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Dot">
        <color indexed="64"/>
      </bottom>
      <diagonal/>
    </border>
    <border>
      <left style="hair">
        <color indexed="64"/>
      </left>
      <right style="hair">
        <color indexed="64"/>
      </right>
      <top style="dashDot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ashDot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ashDot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95">
    <xf numFmtId="0" fontId="0" fillId="0" borderId="0" xfId="0">
      <alignment vertical="center"/>
    </xf>
    <xf numFmtId="0" fontId="2" fillId="0" borderId="0" xfId="0" applyFont="1" applyFill="1" applyAlignment="1" applyProtection="1"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2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177" fontId="6" fillId="2" borderId="0" xfId="0" applyNumberFormat="1" applyFont="1" applyFill="1" applyBorder="1" applyAlignment="1" applyProtection="1">
      <alignment horizontal="right" vertical="center"/>
      <protection locked="0"/>
    </xf>
    <xf numFmtId="178" fontId="2" fillId="2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179" fontId="2" fillId="0" borderId="10" xfId="0" applyNumberFormat="1" applyFont="1" applyFill="1" applyBorder="1" applyAlignment="1" applyProtection="1">
      <alignment horizontal="center" vertical="center"/>
      <protection hidden="1"/>
    </xf>
    <xf numFmtId="176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179" fontId="6" fillId="0" borderId="13" xfId="0" applyNumberFormat="1" applyFont="1" applyFill="1" applyBorder="1" applyAlignment="1" applyProtection="1">
      <alignment horizontal="right" vertical="center"/>
      <protection hidden="1"/>
    </xf>
    <xf numFmtId="180" fontId="6" fillId="0" borderId="13" xfId="0" applyNumberFormat="1" applyFont="1" applyFill="1" applyBorder="1" applyAlignment="1" applyProtection="1">
      <alignment horizontal="right" vertical="center"/>
      <protection hidden="1"/>
    </xf>
    <xf numFmtId="0" fontId="6" fillId="0" borderId="13" xfId="0" applyFont="1" applyFill="1" applyBorder="1" applyAlignment="1" applyProtection="1">
      <alignment horizontal="right" vertical="center"/>
      <protection hidden="1"/>
    </xf>
    <xf numFmtId="0" fontId="6" fillId="0" borderId="13" xfId="0" quotePrefix="1" applyFont="1" applyFill="1" applyBorder="1" applyAlignment="1" applyProtection="1">
      <alignment horizontal="right" vertical="center"/>
      <protection hidden="1"/>
    </xf>
    <xf numFmtId="180" fontId="6" fillId="0" borderId="14" xfId="0" applyNumberFormat="1" applyFont="1" applyFill="1" applyBorder="1" applyAlignment="1" applyProtection="1">
      <alignment horizontal="right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41" fontId="2" fillId="2" borderId="16" xfId="1" applyFont="1" applyFill="1" applyBorder="1" applyAlignment="1" applyProtection="1">
      <alignment vertical="center"/>
      <protection locked="0"/>
    </xf>
    <xf numFmtId="180" fontId="2" fillId="2" borderId="16" xfId="0" applyNumberFormat="1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181" fontId="2" fillId="2" borderId="16" xfId="0" applyNumberFormat="1" applyFont="1" applyFill="1" applyBorder="1" applyAlignment="1" applyProtection="1">
      <alignment horizontal="center" vertical="center"/>
      <protection locked="0"/>
    </xf>
    <xf numFmtId="41" fontId="2" fillId="2" borderId="16" xfId="1" applyFont="1" applyFill="1" applyBorder="1" applyAlignment="1" applyProtection="1">
      <alignment horizontal="center" vertical="center"/>
      <protection locked="0"/>
    </xf>
    <xf numFmtId="180" fontId="2" fillId="2" borderId="16" xfId="1" applyNumberFormat="1" applyFont="1" applyFill="1" applyBorder="1" applyAlignment="1" applyProtection="1">
      <alignment horizontal="right" vertical="center"/>
      <protection locked="0"/>
    </xf>
    <xf numFmtId="178" fontId="2" fillId="2" borderId="16" xfId="1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178" fontId="2" fillId="2" borderId="20" xfId="1" applyNumberFormat="1" applyFont="1" applyFill="1" applyBorder="1" applyAlignment="1" applyProtection="1">
      <alignment horizontal="center" vertical="center"/>
      <protection locked="0"/>
    </xf>
    <xf numFmtId="180" fontId="2" fillId="2" borderId="20" xfId="1" applyNumberFormat="1" applyFont="1" applyFill="1" applyBorder="1" applyAlignment="1" applyProtection="1">
      <alignment horizontal="right" vertical="center"/>
      <protection locked="0"/>
    </xf>
    <xf numFmtId="0" fontId="2" fillId="2" borderId="20" xfId="0" applyFont="1" applyFill="1" applyBorder="1" applyAlignment="1" applyProtection="1">
      <alignment horizontal="center" vertical="center" shrinkToFit="1"/>
      <protection locked="0"/>
    </xf>
    <xf numFmtId="181" fontId="2" fillId="2" borderId="20" xfId="0" applyNumberFormat="1" applyFont="1" applyFill="1" applyBorder="1" applyAlignment="1" applyProtection="1">
      <alignment horizontal="center" vertical="center"/>
      <protection locked="0"/>
    </xf>
    <xf numFmtId="179" fontId="2" fillId="0" borderId="0" xfId="0" applyNumberFormat="1" applyFont="1" applyFill="1" applyAlignment="1" applyProtection="1">
      <protection hidden="1"/>
    </xf>
    <xf numFmtId="176" fontId="2" fillId="0" borderId="0" xfId="0" applyNumberFormat="1" applyFont="1" applyFill="1" applyAlignment="1" applyProtection="1">
      <protection hidden="1"/>
    </xf>
    <xf numFmtId="0" fontId="6" fillId="0" borderId="4" xfId="0" applyFont="1" applyFill="1" applyBorder="1" applyAlignment="1" applyProtection="1">
      <alignment horizontal="distributed" vertical="center"/>
      <protection hidden="1"/>
    </xf>
    <xf numFmtId="0" fontId="6" fillId="0" borderId="0" xfId="0" applyFont="1" applyFill="1" applyBorder="1" applyAlignment="1" applyProtection="1">
      <alignment horizontal="distributed" vertical="center"/>
      <protection hidden="1"/>
    </xf>
    <xf numFmtId="49" fontId="6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/>
    <xf numFmtId="182" fontId="6" fillId="2" borderId="23" xfId="0" applyNumberFormat="1" applyFont="1" applyFill="1" applyBorder="1" applyAlignment="1" applyProtection="1">
      <alignment horizontal="center" vertical="center"/>
      <protection locked="0"/>
    </xf>
    <xf numFmtId="182" fontId="6" fillId="2" borderId="23" xfId="0" applyNumberFormat="1" applyFont="1" applyFill="1" applyBorder="1" applyAlignment="1" applyProtection="1">
      <alignment vertical="center"/>
      <protection locked="0"/>
    </xf>
    <xf numFmtId="49" fontId="6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shrinkToFit="1"/>
    </xf>
    <xf numFmtId="0" fontId="6" fillId="2" borderId="23" xfId="0" applyFont="1" applyFill="1" applyBorder="1" applyAlignment="1" applyProtection="1">
      <alignment horizontal="center" vertical="center" shrinkToFit="1"/>
      <protection locked="0"/>
    </xf>
    <xf numFmtId="176" fontId="6" fillId="2" borderId="24" xfId="0" applyNumberFormat="1" applyFont="1" applyFill="1" applyBorder="1" applyAlignment="1" applyProtection="1">
      <alignment vertical="center" shrinkToFit="1"/>
      <protection locked="0"/>
    </xf>
    <xf numFmtId="0" fontId="2" fillId="0" borderId="25" xfId="0" applyNumberFormat="1" applyFont="1" applyFill="1" applyBorder="1" applyAlignment="1" applyProtection="1">
      <alignment horizontal="center" vertical="center" shrinkToFit="1"/>
    </xf>
    <xf numFmtId="179" fontId="2" fillId="2" borderId="25" xfId="0" applyNumberFormat="1" applyFont="1" applyFill="1" applyBorder="1" applyAlignment="1" applyProtection="1">
      <protection locked="0"/>
    </xf>
    <xf numFmtId="176" fontId="6" fillId="2" borderId="27" xfId="0" applyNumberFormat="1" applyFont="1" applyFill="1" applyBorder="1" applyAlignment="1" applyProtection="1">
      <alignment vertical="center" shrinkToFit="1"/>
      <protection locked="0"/>
    </xf>
    <xf numFmtId="0" fontId="2" fillId="0" borderId="16" xfId="0" applyNumberFormat="1" applyFont="1" applyFill="1" applyBorder="1" applyAlignment="1" applyProtection="1">
      <alignment horizontal="center" vertical="center" shrinkToFit="1"/>
    </xf>
    <xf numFmtId="179" fontId="2" fillId="2" borderId="16" xfId="0" applyNumberFormat="1" applyFont="1" applyFill="1" applyBorder="1" applyAlignment="1" applyProtection="1">
      <protection locked="0"/>
    </xf>
    <xf numFmtId="176" fontId="6" fillId="2" borderId="29" xfId="0" applyNumberFormat="1" applyFont="1" applyFill="1" applyBorder="1" applyAlignment="1" applyProtection="1">
      <alignment vertical="center" shrinkToFit="1"/>
      <protection locked="0"/>
    </xf>
    <xf numFmtId="0" fontId="2" fillId="0" borderId="30" xfId="0" applyNumberFormat="1" applyFont="1" applyFill="1" applyBorder="1" applyAlignment="1" applyProtection="1">
      <alignment horizontal="center" vertical="center" shrinkToFit="1"/>
    </xf>
    <xf numFmtId="179" fontId="2" fillId="2" borderId="30" xfId="0" applyNumberFormat="1" applyFont="1" applyFill="1" applyBorder="1" applyAlignment="1" applyProtection="1">
      <protection locked="0"/>
    </xf>
    <xf numFmtId="0" fontId="2" fillId="0" borderId="0" xfId="0" applyFont="1" applyAlignment="1" applyProtection="1">
      <protection hidden="1"/>
    </xf>
    <xf numFmtId="183" fontId="9" fillId="3" borderId="0" xfId="0" applyNumberFormat="1" applyFont="1" applyFill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protection hidden="1"/>
    </xf>
    <xf numFmtId="0" fontId="2" fillId="3" borderId="0" xfId="0" applyFont="1" applyFill="1" applyAlignment="1" applyProtection="1"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left" vertical="center"/>
    </xf>
    <xf numFmtId="183" fontId="12" fillId="3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  <protection hidden="1"/>
    </xf>
    <xf numFmtId="183" fontId="12" fillId="3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83" fontId="12" fillId="3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2" fillId="0" borderId="33" xfId="0" applyFont="1" applyFill="1" applyBorder="1" applyAlignment="1" applyProtection="1">
      <alignment horizontal="center" vertical="center"/>
      <protection hidden="1"/>
    </xf>
    <xf numFmtId="183" fontId="12" fillId="3" borderId="36" xfId="1" applyNumberFormat="1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184" fontId="2" fillId="0" borderId="30" xfId="0" applyNumberFormat="1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2" borderId="31" xfId="0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Alignment="1" applyProtection="1">
      <alignment vertical="center"/>
      <protection hidden="1"/>
    </xf>
    <xf numFmtId="183" fontId="2" fillId="3" borderId="0" xfId="0" applyNumberFormat="1" applyFont="1" applyFill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184" fontId="2" fillId="0" borderId="0" xfId="0" applyNumberFormat="1" applyFont="1" applyFill="1" applyBorder="1" applyAlignment="1" applyProtection="1">
      <alignment vertical="center"/>
      <protection hidden="1"/>
    </xf>
    <xf numFmtId="183" fontId="12" fillId="3" borderId="36" xfId="0" applyNumberFormat="1" applyFont="1" applyFill="1" applyBorder="1" applyAlignment="1" applyProtection="1">
      <alignment horizontal="center" vertical="center"/>
      <protection hidden="1"/>
    </xf>
    <xf numFmtId="0" fontId="14" fillId="3" borderId="36" xfId="0" applyFont="1" applyFill="1" applyBorder="1" applyAlignment="1" applyProtection="1">
      <alignment horizontal="center" vertical="center"/>
    </xf>
    <xf numFmtId="182" fontId="2" fillId="4" borderId="30" xfId="0" applyNumberFormat="1" applyFont="1" applyFill="1" applyBorder="1" applyAlignment="1" applyProtection="1">
      <alignment horizontal="center" vertical="center"/>
      <protection locked="0"/>
    </xf>
    <xf numFmtId="185" fontId="2" fillId="0" borderId="30" xfId="0" applyNumberFormat="1" applyFont="1" applyFill="1" applyBorder="1" applyAlignment="1" applyProtection="1">
      <alignment horizontal="center" vertical="center"/>
      <protection hidden="1"/>
    </xf>
    <xf numFmtId="186" fontId="2" fillId="2" borderId="31" xfId="0" applyNumberFormat="1" applyFont="1" applyFill="1" applyBorder="1" applyAlignment="1" applyProtection="1">
      <alignment horizontal="center" vertical="center"/>
      <protection locked="0" hidden="1"/>
    </xf>
    <xf numFmtId="0" fontId="2" fillId="0" borderId="40" xfId="0" applyFont="1" applyFill="1" applyBorder="1" applyAlignment="1" applyProtection="1">
      <alignment horizontal="left" vertical="center"/>
      <protection hidden="1"/>
    </xf>
    <xf numFmtId="0" fontId="2" fillId="0" borderId="40" xfId="0" applyFont="1" applyFill="1" applyBorder="1" applyAlignment="1" applyProtection="1">
      <alignment horizontal="left" vertical="center"/>
    </xf>
    <xf numFmtId="0" fontId="7" fillId="0" borderId="40" xfId="0" applyFont="1" applyFill="1" applyBorder="1" applyAlignment="1" applyProtection="1">
      <alignment horizontal="left" vertical="center"/>
    </xf>
    <xf numFmtId="0" fontId="13" fillId="0" borderId="40" xfId="0" applyFont="1" applyFill="1" applyBorder="1" applyAlignment="1" applyProtection="1">
      <alignment vertical="center"/>
      <protection hidden="1"/>
    </xf>
    <xf numFmtId="183" fontId="12" fillId="3" borderId="36" xfId="0" applyNumberFormat="1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182" fontId="2" fillId="0" borderId="30" xfId="0" applyNumberFormat="1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center" vertical="center"/>
    </xf>
    <xf numFmtId="0" fontId="2" fillId="0" borderId="40" xfId="0" applyFont="1" applyFill="1" applyBorder="1" applyAlignment="1" applyProtection="1">
      <alignment horizontal="right" vertical="center"/>
    </xf>
    <xf numFmtId="0" fontId="2" fillId="0" borderId="40" xfId="0" applyFont="1" applyFill="1" applyBorder="1" applyAlignment="1" applyProtection="1">
      <alignment vertical="center"/>
    </xf>
    <xf numFmtId="182" fontId="2" fillId="0" borderId="40" xfId="0" applyNumberFormat="1" applyFont="1" applyFill="1" applyBorder="1" applyAlignment="1" applyProtection="1">
      <alignment vertical="center"/>
      <protection hidden="1"/>
    </xf>
    <xf numFmtId="0" fontId="2" fillId="0" borderId="4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/>
    </xf>
    <xf numFmtId="183" fontId="12" fillId="3" borderId="0" xfId="0" applyNumberFormat="1" applyFont="1" applyFill="1" applyBorder="1" applyAlignment="1" applyProtection="1">
      <alignment horizontal="center" vertical="center"/>
    </xf>
    <xf numFmtId="183" fontId="12" fillId="3" borderId="44" xfId="0" applyNumberFormat="1" applyFont="1" applyFill="1" applyBorder="1" applyAlignment="1" applyProtection="1">
      <alignment horizontal="center" vertical="center"/>
      <protection hidden="1"/>
    </xf>
    <xf numFmtId="0" fontId="15" fillId="3" borderId="44" xfId="0" applyFont="1" applyFill="1" applyBorder="1" applyAlignment="1" applyProtection="1">
      <alignment horizontal="center" vertical="center"/>
      <protection hidden="1"/>
    </xf>
    <xf numFmtId="0" fontId="2" fillId="0" borderId="3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2" fillId="0" borderId="35" xfId="0" applyFont="1" applyFill="1" applyBorder="1" applyAlignment="1" applyProtection="1">
      <alignment horizontal="center" vertical="center"/>
      <protection hidden="1"/>
    </xf>
    <xf numFmtId="0" fontId="2" fillId="5" borderId="27" xfId="0" applyFont="1" applyFill="1" applyBorder="1" applyAlignment="1" applyProtection="1">
      <alignment horizontal="center" vertical="center" shrinkToFit="1"/>
    </xf>
    <xf numFmtId="0" fontId="2" fillId="5" borderId="16" xfId="0" applyFont="1" applyFill="1" applyBorder="1" applyAlignment="1" applyProtection="1">
      <alignment horizontal="center" vertical="center"/>
    </xf>
    <xf numFmtId="187" fontId="2" fillId="5" borderId="16" xfId="0" applyNumberFormat="1" applyFont="1" applyFill="1" applyBorder="1" applyAlignment="1" applyProtection="1">
      <alignment horizontal="center" vertical="center" shrinkToFit="1"/>
    </xf>
    <xf numFmtId="0" fontId="2" fillId="0" borderId="16" xfId="0" applyFont="1" applyFill="1" applyBorder="1" applyAlignment="1" applyProtection="1">
      <alignment vertical="center" shrinkToFit="1"/>
      <protection hidden="1"/>
    </xf>
    <xf numFmtId="0" fontId="2" fillId="0" borderId="28" xfId="0" quotePrefix="1" applyFont="1" applyFill="1" applyBorder="1" applyAlignment="1" applyProtection="1">
      <alignment horizontal="center" vertical="center" shrinkToFit="1"/>
      <protection hidden="1"/>
    </xf>
    <xf numFmtId="183" fontId="12" fillId="3" borderId="0" xfId="0" quotePrefix="1" applyNumberFormat="1" applyFont="1" applyFill="1" applyBorder="1" applyAlignment="1" applyProtection="1">
      <alignment horizontal="center" vertical="center" shrinkToFit="1"/>
      <protection hidden="1"/>
    </xf>
    <xf numFmtId="188" fontId="2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4" borderId="28" xfId="0" applyFont="1" applyFill="1" applyBorder="1" applyAlignment="1" applyProtection="1">
      <alignment vertical="center" shrinkToFit="1"/>
      <protection locked="0"/>
    </xf>
    <xf numFmtId="183" fontId="12" fillId="3" borderId="0" xfId="0" applyNumberFormat="1" applyFont="1" applyFill="1" applyBorder="1" applyAlignment="1" applyProtection="1">
      <alignment horizontal="center" vertical="center" shrinkToFit="1"/>
    </xf>
    <xf numFmtId="0" fontId="2" fillId="0" borderId="29" xfId="0" applyFont="1" applyFill="1" applyBorder="1" applyAlignment="1" applyProtection="1">
      <alignment horizontal="center" vertical="center" shrinkToFit="1"/>
      <protection hidden="1"/>
    </xf>
    <xf numFmtId="0" fontId="2" fillId="0" borderId="30" xfId="0" applyNumberFormat="1" applyFont="1" applyFill="1" applyBorder="1" applyAlignment="1" applyProtection="1">
      <alignment vertical="center" shrinkToFit="1"/>
      <protection hidden="1"/>
    </xf>
    <xf numFmtId="0" fontId="2" fillId="0" borderId="30" xfId="0" applyFont="1" applyFill="1" applyBorder="1" applyAlignment="1" applyProtection="1">
      <alignment horizontal="center" vertical="center" shrinkToFit="1"/>
      <protection hidden="1"/>
    </xf>
    <xf numFmtId="0" fontId="2" fillId="0" borderId="30" xfId="0" applyFont="1" applyFill="1" applyBorder="1" applyAlignment="1" applyProtection="1">
      <alignment vertical="center" shrinkToFit="1"/>
      <protection hidden="1"/>
    </xf>
    <xf numFmtId="0" fontId="2" fillId="0" borderId="31" xfId="0" applyFont="1" applyFill="1" applyBorder="1" applyAlignment="1" applyProtection="1">
      <alignment vertical="center" shrinkToFit="1"/>
      <protection hidden="1"/>
    </xf>
    <xf numFmtId="183" fontId="12" fillId="3" borderId="0" xfId="0" applyNumberFormat="1" applyFont="1" applyFill="1" applyBorder="1" applyAlignment="1" applyProtection="1">
      <alignment horizontal="center" vertical="center" shrinkToFit="1"/>
      <protection hidden="1"/>
    </xf>
    <xf numFmtId="0" fontId="2" fillId="4" borderId="51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right" vertical="center"/>
      <protection hidden="1"/>
    </xf>
    <xf numFmtId="0" fontId="2" fillId="4" borderId="51" xfId="0" applyNumberFormat="1" applyFont="1" applyFill="1" applyBorder="1" applyAlignment="1" applyProtection="1">
      <alignment horizontal="center" vertical="center"/>
      <protection locked="0"/>
    </xf>
    <xf numFmtId="0" fontId="17" fillId="0" borderId="33" xfId="0" applyFont="1" applyFill="1" applyBorder="1" applyAlignment="1" applyProtection="1">
      <alignment horizontal="center" vertical="center"/>
      <protection hidden="1"/>
    </xf>
    <xf numFmtId="0" fontId="17" fillId="0" borderId="52" xfId="0" applyFont="1" applyFill="1" applyBorder="1" applyAlignment="1" applyProtection="1">
      <alignment horizontal="center" vertical="center"/>
      <protection hidden="1"/>
    </xf>
    <xf numFmtId="0" fontId="17" fillId="0" borderId="25" xfId="0" applyFont="1" applyFill="1" applyBorder="1" applyAlignment="1" applyProtection="1">
      <alignment horizontal="center" vertical="center"/>
      <protection hidden="1"/>
    </xf>
    <xf numFmtId="0" fontId="17" fillId="0" borderId="26" xfId="0" applyFont="1" applyFill="1" applyBorder="1" applyAlignment="1" applyProtection="1">
      <alignment horizontal="center" vertical="center"/>
      <protection hidden="1"/>
    </xf>
    <xf numFmtId="179" fontId="2" fillId="5" borderId="30" xfId="0" applyNumberFormat="1" applyFont="1" applyFill="1" applyBorder="1" applyAlignment="1" applyProtection="1">
      <alignment horizontal="center" vertical="center"/>
      <protection locked="0"/>
    </xf>
    <xf numFmtId="179" fontId="2" fillId="5" borderId="31" xfId="0" applyNumberFormat="1" applyFont="1" applyFill="1" applyBorder="1" applyAlignment="1" applyProtection="1">
      <alignment horizontal="center" vertical="center"/>
      <protection locked="0"/>
    </xf>
    <xf numFmtId="183" fontId="12" fillId="6" borderId="36" xfId="0" applyNumberFormat="1" applyFont="1" applyFill="1" applyBorder="1" applyAlignment="1" applyProtection="1">
      <alignment horizontal="center" vertical="center"/>
      <protection hidden="1"/>
    </xf>
    <xf numFmtId="0" fontId="10" fillId="6" borderId="36" xfId="0" applyFont="1" applyFill="1" applyBorder="1" applyAlignment="1" applyProtection="1">
      <alignment horizontal="center" vertical="center"/>
      <protection hidden="1"/>
    </xf>
    <xf numFmtId="0" fontId="2" fillId="0" borderId="51" xfId="0" applyNumberFormat="1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17" fillId="0" borderId="16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179" fontId="2" fillId="4" borderId="30" xfId="0" applyNumberFormat="1" applyFont="1" applyFill="1" applyBorder="1" applyAlignment="1" applyProtection="1">
      <alignment horizontal="center" vertical="center" shrinkToFit="1"/>
      <protection locked="0"/>
    </xf>
    <xf numFmtId="189" fontId="2" fillId="0" borderId="30" xfId="0" applyNumberFormat="1" applyFont="1" applyFill="1" applyBorder="1" applyAlignment="1" applyProtection="1">
      <alignment horizontal="center" vertical="center"/>
      <protection hidden="1"/>
    </xf>
    <xf numFmtId="180" fontId="2" fillId="4" borderId="30" xfId="0" applyNumberFormat="1" applyFont="1" applyFill="1" applyBorder="1" applyAlignment="1" applyProtection="1">
      <alignment horizontal="center" vertical="center" shrinkToFit="1"/>
      <protection locked="0"/>
    </xf>
    <xf numFmtId="189" fontId="17" fillId="0" borderId="30" xfId="0" applyNumberFormat="1" applyFont="1" applyFill="1" applyBorder="1" applyAlignment="1" applyProtection="1">
      <alignment horizontal="center" vertical="center"/>
      <protection hidden="1"/>
    </xf>
    <xf numFmtId="180" fontId="17" fillId="4" borderId="3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</xf>
    <xf numFmtId="179" fontId="2" fillId="0" borderId="0" xfId="0" applyNumberFormat="1" applyFont="1" applyFill="1" applyBorder="1" applyAlignment="1" applyProtection="1">
      <alignment vertical="center" shrinkToFit="1"/>
    </xf>
    <xf numFmtId="189" fontId="2" fillId="0" borderId="0" xfId="0" applyNumberFormat="1" applyFont="1" applyFill="1" applyBorder="1" applyAlignment="1" applyProtection="1">
      <alignment horizontal="center" vertical="center"/>
      <protection hidden="1"/>
    </xf>
    <xf numFmtId="180" fontId="2" fillId="0" borderId="0" xfId="0" applyNumberFormat="1" applyFont="1" applyFill="1" applyBorder="1" applyAlignment="1" applyProtection="1">
      <alignment vertical="center" shrinkToFit="1"/>
    </xf>
    <xf numFmtId="0" fontId="2" fillId="0" borderId="0" xfId="0" applyNumberFormat="1" applyFont="1" applyFill="1" applyAlignment="1" applyProtection="1">
      <alignment vertical="center"/>
      <protection hidden="1"/>
    </xf>
    <xf numFmtId="176" fontId="2" fillId="0" borderId="0" xfId="0" applyNumberFormat="1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left" vertical="center"/>
    </xf>
    <xf numFmtId="0" fontId="2" fillId="0" borderId="27" xfId="0" applyFont="1" applyFill="1" applyBorder="1" applyAlignment="1" applyProtection="1">
      <alignment horizontal="left" vertical="center" shrinkToFit="1"/>
      <protection hidden="1"/>
    </xf>
    <xf numFmtId="0" fontId="0" fillId="3" borderId="0" xfId="0" applyFill="1" applyAlignment="1" applyProtection="1">
      <alignment horizontal="left" vertical="center"/>
      <protection hidden="1"/>
    </xf>
    <xf numFmtId="0" fontId="18" fillId="3" borderId="0" xfId="0" applyFont="1" applyFill="1" applyAlignment="1" applyProtection="1">
      <alignment horizontal="left" vertical="center"/>
      <protection hidden="1"/>
    </xf>
    <xf numFmtId="0" fontId="2" fillId="0" borderId="29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Fill="1" applyAlignment="1" applyProtection="1">
      <alignment vertical="top"/>
      <protection hidden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9" fillId="7" borderId="36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185" fontId="10" fillId="0" borderId="36" xfId="0" applyNumberFormat="1" applyFont="1" applyBorder="1" applyAlignment="1">
      <alignment horizontal="center"/>
    </xf>
    <xf numFmtId="41" fontId="12" fillId="3" borderId="0" xfId="1" applyFont="1" applyFill="1" applyAlignment="1" applyProtection="1"/>
    <xf numFmtId="0" fontId="2" fillId="3" borderId="0" xfId="0" applyFont="1" applyFill="1" applyAlignment="1" applyProtection="1"/>
    <xf numFmtId="0" fontId="8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41" fontId="12" fillId="3" borderId="0" xfId="1" applyFont="1" applyFill="1" applyAlignment="1" applyProtection="1">
      <alignment vertical="top"/>
    </xf>
    <xf numFmtId="0" fontId="2" fillId="3" borderId="0" xfId="0" applyFont="1" applyFill="1" applyAlignment="1" applyProtection="1">
      <alignment vertical="top"/>
    </xf>
    <xf numFmtId="0" fontId="8" fillId="0" borderId="52" xfId="0" applyFont="1" applyBorder="1" applyAlignment="1" applyProtection="1">
      <alignment horizontal="center" vertical="center"/>
      <protection hidden="1"/>
    </xf>
    <xf numFmtId="41" fontId="12" fillId="3" borderId="0" xfId="1" applyFont="1" applyFill="1" applyAlignment="1" applyProtection="1">
      <protection hidden="1"/>
    </xf>
    <xf numFmtId="0" fontId="2" fillId="0" borderId="62" xfId="0" applyFont="1" applyBorder="1" applyAlignment="1" applyProtection="1">
      <alignment horizontal="center" vertical="center"/>
      <protection hidden="1"/>
    </xf>
    <xf numFmtId="0" fontId="8" fillId="0" borderId="63" xfId="0" applyFont="1" applyBorder="1" applyAlignment="1" applyProtection="1">
      <alignment horizontal="center" vertical="center"/>
      <protection hidden="1"/>
    </xf>
    <xf numFmtId="0" fontId="2" fillId="0" borderId="66" xfId="0" applyFont="1" applyBorder="1" applyAlignment="1" applyProtection="1">
      <alignment horizontal="center" vertical="center"/>
      <protection hidden="1"/>
    </xf>
    <xf numFmtId="0" fontId="2" fillId="0" borderId="67" xfId="0" applyFont="1" applyBorder="1" applyAlignment="1" applyProtection="1">
      <alignment horizontal="center" vertical="center"/>
      <protection hidden="1"/>
    </xf>
    <xf numFmtId="0" fontId="12" fillId="0" borderId="69" xfId="0" applyFont="1" applyBorder="1" applyAlignment="1" applyProtection="1">
      <alignment horizontal="center" vertical="center"/>
      <protection hidden="1"/>
    </xf>
    <xf numFmtId="179" fontId="12" fillId="0" borderId="69" xfId="0" applyNumberFormat="1" applyFont="1" applyFill="1" applyBorder="1" applyAlignment="1" applyProtection="1">
      <alignment vertical="center"/>
      <protection hidden="1"/>
    </xf>
    <xf numFmtId="182" fontId="12" fillId="0" borderId="70" xfId="0" applyNumberFormat="1" applyFont="1" applyFill="1" applyBorder="1" applyAlignment="1" applyProtection="1">
      <alignment horizontal="center" vertical="center"/>
      <protection hidden="1"/>
    </xf>
    <xf numFmtId="0" fontId="12" fillId="0" borderId="72" xfId="0" applyFont="1" applyBorder="1" applyAlignment="1" applyProtection="1">
      <alignment horizontal="center" vertical="center"/>
      <protection hidden="1"/>
    </xf>
    <xf numFmtId="179" fontId="12" fillId="0" borderId="72" xfId="0" applyNumberFormat="1" applyFont="1" applyFill="1" applyBorder="1" applyAlignment="1" applyProtection="1">
      <alignment vertical="center"/>
      <protection hidden="1"/>
    </xf>
    <xf numFmtId="182" fontId="12" fillId="0" borderId="73" xfId="0" applyNumberFormat="1" applyFont="1" applyFill="1" applyBorder="1" applyAlignment="1" applyProtection="1">
      <alignment horizontal="center" vertical="center"/>
      <protection hidden="1"/>
    </xf>
    <xf numFmtId="0" fontId="2" fillId="3" borderId="36" xfId="0" applyFont="1" applyFill="1" applyBorder="1" applyAlignment="1" applyProtection="1">
      <alignment horizontal="center" vertical="center"/>
      <protection hidden="1"/>
    </xf>
    <xf numFmtId="0" fontId="2" fillId="3" borderId="36" xfId="0" quotePrefix="1" applyFont="1" applyFill="1" applyBorder="1" applyAlignment="1" applyProtection="1">
      <alignment horizontal="center" vertical="center"/>
      <protection hidden="1"/>
    </xf>
    <xf numFmtId="182" fontId="12" fillId="0" borderId="74" xfId="0" applyNumberFormat="1" applyFont="1" applyFill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179" fontId="12" fillId="0" borderId="74" xfId="0" applyNumberFormat="1" applyFont="1" applyBorder="1" applyAlignment="1" applyProtection="1">
      <alignment vertical="center"/>
      <protection hidden="1"/>
    </xf>
    <xf numFmtId="182" fontId="12" fillId="0" borderId="75" xfId="0" applyNumberFormat="1" applyFont="1" applyFill="1" applyBorder="1" applyAlignment="1" applyProtection="1">
      <alignment horizontal="center" vertical="center"/>
      <protection hidden="1"/>
    </xf>
    <xf numFmtId="41" fontId="2" fillId="3" borderId="36" xfId="1" applyFont="1" applyFill="1" applyBorder="1" applyAlignment="1" applyProtection="1">
      <alignment horizontal="center" vertical="center"/>
      <protection hidden="1"/>
    </xf>
    <xf numFmtId="182" fontId="12" fillId="8" borderId="72" xfId="0" applyNumberFormat="1" applyFont="1" applyFill="1" applyBorder="1" applyAlignment="1" applyProtection="1">
      <alignment vertical="center"/>
      <protection hidden="1"/>
    </xf>
    <xf numFmtId="179" fontId="12" fillId="0" borderId="72" xfId="0" applyNumberFormat="1" applyFont="1" applyBorder="1" applyAlignment="1" applyProtection="1">
      <alignment vertical="center"/>
      <protection hidden="1"/>
    </xf>
    <xf numFmtId="0" fontId="23" fillId="0" borderId="0" xfId="0" applyFont="1" applyAlignment="1" applyProtection="1">
      <protection hidden="1"/>
    </xf>
    <xf numFmtId="0" fontId="23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/>
    <xf numFmtId="41" fontId="23" fillId="0" borderId="0" xfId="0" applyNumberFormat="1" applyFont="1" applyAlignment="1" applyProtection="1"/>
    <xf numFmtId="0" fontId="10" fillId="3" borderId="0" xfId="0" applyFont="1" applyFill="1" applyAlignment="1" applyProtection="1"/>
    <xf numFmtId="0" fontId="24" fillId="0" borderId="0" xfId="0" applyFont="1" applyFill="1" applyAlignment="1" applyProtection="1">
      <protection hidden="1"/>
    </xf>
    <xf numFmtId="41" fontId="24" fillId="0" borderId="0" xfId="0" applyNumberFormat="1" applyFont="1" applyFill="1" applyAlignment="1" applyProtection="1">
      <protection hidden="1"/>
    </xf>
    <xf numFmtId="0" fontId="23" fillId="8" borderId="0" xfId="0" applyNumberFormat="1" applyFont="1" applyFill="1" applyAlignment="1" applyProtection="1">
      <alignment vertical="center"/>
      <protection hidden="1"/>
    </xf>
    <xf numFmtId="0" fontId="23" fillId="8" borderId="0" xfId="0" applyFont="1" applyFill="1" applyAlignment="1" applyProtection="1">
      <protection hidden="1"/>
    </xf>
    <xf numFmtId="41" fontId="23" fillId="8" borderId="0" xfId="0" applyNumberFormat="1" applyFont="1" applyFill="1" applyAlignment="1" applyProtection="1">
      <protection hidden="1"/>
    </xf>
    <xf numFmtId="0" fontId="23" fillId="0" borderId="0" xfId="0" applyFont="1" applyBorder="1" applyAlignment="1" applyProtection="1">
      <protection hidden="1"/>
    </xf>
    <xf numFmtId="0" fontId="10" fillId="3" borderId="0" xfId="0" applyFont="1" applyFill="1" applyBorder="1" applyAlignment="1" applyProtection="1">
      <protection hidden="1"/>
    </xf>
    <xf numFmtId="0" fontId="23" fillId="8" borderId="0" xfId="0" applyFont="1" applyFill="1" applyAlignment="1" applyProtection="1">
      <alignment horizontal="left" vertical="center"/>
      <protection hidden="1"/>
    </xf>
    <xf numFmtId="41" fontId="23" fillId="8" borderId="0" xfId="0" applyNumberFormat="1" applyFont="1" applyFill="1" applyAlignment="1" applyProtection="1">
      <alignment horizontal="left" vertical="center"/>
      <protection hidden="1"/>
    </xf>
    <xf numFmtId="0" fontId="23" fillId="0" borderId="7" xfId="0" applyFont="1" applyBorder="1" applyAlignment="1" applyProtection="1">
      <protection hidden="1"/>
    </xf>
    <xf numFmtId="0" fontId="10" fillId="3" borderId="0" xfId="0" applyFont="1" applyFill="1" applyBorder="1" applyAlignment="1" applyProtection="1">
      <alignment horizontal="center" vertical="center" wrapText="1"/>
      <protection hidden="1"/>
    </xf>
    <xf numFmtId="0" fontId="23" fillId="8" borderId="27" xfId="0" applyFont="1" applyFill="1" applyBorder="1" applyAlignment="1" applyProtection="1">
      <alignment horizontal="center" vertical="center" shrinkToFit="1"/>
      <protection hidden="1"/>
    </xf>
    <xf numFmtId="0" fontId="23" fillId="8" borderId="16" xfId="0" applyFont="1" applyFill="1" applyBorder="1" applyAlignment="1" applyProtection="1">
      <alignment horizontal="center" vertical="center" shrinkToFit="1"/>
      <protection hidden="1"/>
    </xf>
    <xf numFmtId="0" fontId="23" fillId="8" borderId="16" xfId="0" applyNumberFormat="1" applyFont="1" applyFill="1" applyBorder="1" applyAlignment="1" applyProtection="1">
      <alignment horizontal="center" vertical="center" shrinkToFit="1"/>
      <protection hidden="1"/>
    </xf>
    <xf numFmtId="179" fontId="23" fillId="8" borderId="25" xfId="0" applyNumberFormat="1" applyFont="1" applyFill="1" applyBorder="1" applyAlignment="1" applyProtection="1">
      <alignment vertical="center" shrinkToFit="1"/>
      <protection hidden="1"/>
    </xf>
    <xf numFmtId="0" fontId="23" fillId="0" borderId="25" xfId="0" applyFont="1" applyBorder="1" applyAlignment="1" applyProtection="1">
      <alignment horizontal="center" vertical="center" shrinkToFit="1"/>
      <protection hidden="1"/>
    </xf>
    <xf numFmtId="179" fontId="23" fillId="0" borderId="16" xfId="0" applyNumberFormat="1" applyFont="1" applyBorder="1" applyAlignment="1" applyProtection="1">
      <alignment horizontal="right" vertical="center" shrinkToFit="1"/>
      <protection hidden="1"/>
    </xf>
    <xf numFmtId="179" fontId="23" fillId="0" borderId="16" xfId="0" applyNumberFormat="1" applyFont="1" applyBorder="1" applyAlignment="1" applyProtection="1">
      <alignment vertical="center" shrinkToFit="1"/>
      <protection hidden="1"/>
    </xf>
    <xf numFmtId="41" fontId="23" fillId="0" borderId="16" xfId="0" applyNumberFormat="1" applyFont="1" applyBorder="1" applyAlignment="1" applyProtection="1">
      <alignment vertical="center" shrinkToFit="1"/>
      <protection hidden="1"/>
    </xf>
    <xf numFmtId="0" fontId="23" fillId="0" borderId="57" xfId="0" applyFont="1" applyBorder="1" applyAlignment="1" applyProtection="1">
      <alignment horizontal="center" vertical="center" shrinkToFit="1"/>
      <protection hidden="1"/>
    </xf>
    <xf numFmtId="0" fontId="10" fillId="3" borderId="0" xfId="0" applyFont="1" applyFill="1" applyBorder="1" applyAlignment="1" applyProtection="1">
      <alignment horizontal="center" vertical="center" shrinkToFit="1"/>
      <protection hidden="1"/>
    </xf>
    <xf numFmtId="179" fontId="23" fillId="8" borderId="16" xfId="0" applyNumberFormat="1" applyFont="1" applyFill="1" applyBorder="1" applyAlignment="1" applyProtection="1">
      <alignment vertical="center" shrinkToFit="1"/>
      <protection hidden="1"/>
    </xf>
    <xf numFmtId="0" fontId="23" fillId="0" borderId="27" xfId="0" applyFont="1" applyFill="1" applyBorder="1" applyAlignment="1" applyProtection="1">
      <alignment horizontal="center" vertical="center" shrinkToFit="1"/>
      <protection hidden="1"/>
    </xf>
    <xf numFmtId="0" fontId="23" fillId="0" borderId="16" xfId="0" applyFont="1" applyFill="1" applyBorder="1" applyAlignment="1" applyProtection="1">
      <alignment horizontal="center" vertical="center" shrinkToFit="1"/>
      <protection hidden="1"/>
    </xf>
    <xf numFmtId="0" fontId="23" fillId="0" borderId="16" xfId="0" applyNumberFormat="1" applyFont="1" applyFill="1" applyBorder="1" applyAlignment="1" applyProtection="1">
      <alignment horizontal="center" vertical="center" shrinkToFit="1"/>
      <protection hidden="1"/>
    </xf>
    <xf numFmtId="179" fontId="23" fillId="0" borderId="16" xfId="0" applyNumberFormat="1" applyFont="1" applyFill="1" applyBorder="1" applyAlignment="1" applyProtection="1">
      <alignment vertical="center" shrinkToFit="1"/>
      <protection hidden="1"/>
    </xf>
    <xf numFmtId="179" fontId="23" fillId="0" borderId="16" xfId="0" applyNumberFormat="1" applyFont="1" applyFill="1" applyBorder="1" applyAlignment="1" applyProtection="1">
      <alignment horizontal="right" vertical="center" shrinkToFit="1"/>
      <protection hidden="1"/>
    </xf>
    <xf numFmtId="41" fontId="23" fillId="0" borderId="16" xfId="0" applyNumberFormat="1" applyFont="1" applyFill="1" applyBorder="1" applyAlignment="1" applyProtection="1">
      <alignment vertical="center" shrinkToFit="1"/>
      <protection hidden="1"/>
    </xf>
    <xf numFmtId="0" fontId="23" fillId="0" borderId="57" xfId="0" applyFont="1" applyFill="1" applyBorder="1" applyAlignment="1" applyProtection="1">
      <alignment horizontal="center" vertical="center" shrinkToFit="1"/>
      <protection hidden="1"/>
    </xf>
    <xf numFmtId="0" fontId="23" fillId="8" borderId="16" xfId="0" applyFont="1" applyFill="1" applyBorder="1" applyAlignment="1" applyProtection="1">
      <alignment vertical="center" shrinkToFit="1"/>
      <protection hidden="1"/>
    </xf>
    <xf numFmtId="0" fontId="23" fillId="8" borderId="16" xfId="0" applyNumberFormat="1" applyFont="1" applyFill="1" applyBorder="1" applyAlignment="1" applyProtection="1">
      <alignment vertical="center" shrinkToFit="1"/>
      <protection hidden="1"/>
    </xf>
    <xf numFmtId="0" fontId="23" fillId="8" borderId="29" xfId="0" applyFont="1" applyFill="1" applyBorder="1" applyAlignment="1" applyProtection="1">
      <alignment horizontal="center" vertical="center" shrinkToFit="1"/>
      <protection hidden="1"/>
    </xf>
    <xf numFmtId="0" fontId="23" fillId="8" borderId="30" xfId="0" applyFont="1" applyFill="1" applyBorder="1" applyAlignment="1" applyProtection="1">
      <alignment vertical="center" shrinkToFit="1"/>
      <protection hidden="1"/>
    </xf>
    <xf numFmtId="0" fontId="23" fillId="8" borderId="30" xfId="0" applyNumberFormat="1" applyFont="1" applyFill="1" applyBorder="1" applyAlignment="1" applyProtection="1">
      <alignment vertical="center" shrinkToFit="1"/>
      <protection hidden="1"/>
    </xf>
    <xf numFmtId="0" fontId="23" fillId="8" borderId="30" xfId="0" applyFont="1" applyFill="1" applyBorder="1" applyAlignment="1" applyProtection="1">
      <alignment horizontal="center" vertical="center" shrinkToFit="1"/>
      <protection hidden="1"/>
    </xf>
    <xf numFmtId="179" fontId="23" fillId="0" borderId="30" xfId="0" applyNumberFormat="1" applyFont="1" applyBorder="1" applyAlignment="1" applyProtection="1">
      <alignment horizontal="right" vertical="center" shrinkToFit="1"/>
      <protection hidden="1"/>
    </xf>
    <xf numFmtId="179" fontId="23" fillId="0" borderId="30" xfId="0" applyNumberFormat="1" applyFont="1" applyBorder="1" applyAlignment="1" applyProtection="1">
      <alignment vertical="center" shrinkToFit="1"/>
      <protection hidden="1"/>
    </xf>
    <xf numFmtId="41" fontId="23" fillId="0" borderId="30" xfId="0" applyNumberFormat="1" applyFont="1" applyBorder="1" applyAlignment="1" applyProtection="1">
      <alignment vertical="center" shrinkToFit="1"/>
      <protection hidden="1"/>
    </xf>
    <xf numFmtId="0" fontId="23" fillId="0" borderId="41" xfId="0" applyFont="1" applyBorder="1" applyAlignment="1" applyProtection="1">
      <alignment horizontal="center" vertical="center" shrinkToFit="1"/>
      <protection hidden="1"/>
    </xf>
    <xf numFmtId="0" fontId="12" fillId="3" borderId="0" xfId="0" applyFont="1" applyFill="1" applyAlignment="1" applyProtection="1">
      <protection hidden="1"/>
    </xf>
    <xf numFmtId="0" fontId="2" fillId="8" borderId="0" xfId="0" applyFont="1" applyFill="1" applyAlignment="1" applyProtection="1">
      <protection hidden="1"/>
    </xf>
    <xf numFmtId="0" fontId="2" fillId="8" borderId="0" xfId="0" applyFont="1" applyFill="1" applyAlignment="1" applyProtection="1">
      <alignment vertical="center"/>
      <protection hidden="1"/>
    </xf>
    <xf numFmtId="0" fontId="2" fillId="8" borderId="0" xfId="0" applyFont="1" applyFill="1" applyAlignment="1" applyProtection="1"/>
    <xf numFmtId="41" fontId="2" fillId="8" borderId="0" xfId="0" applyNumberFormat="1" applyFont="1" applyFill="1" applyAlignment="1" applyProtection="1"/>
    <xf numFmtId="41" fontId="2" fillId="8" borderId="0" xfId="0" applyNumberFormat="1" applyFont="1" applyFill="1" applyAlignment="1" applyProtection="1">
      <protection hidden="1"/>
    </xf>
    <xf numFmtId="0" fontId="2" fillId="8" borderId="0" xfId="0" applyNumberFormat="1" applyFont="1" applyFill="1" applyAlignment="1" applyProtection="1">
      <alignment vertical="center"/>
      <protection hidden="1"/>
    </xf>
    <xf numFmtId="0" fontId="26" fillId="8" borderId="0" xfId="0" applyFont="1" applyFill="1" applyAlignment="1" applyProtection="1">
      <alignment vertical="center"/>
      <protection hidden="1"/>
    </xf>
    <xf numFmtId="0" fontId="12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" fillId="0" borderId="16" xfId="0" applyFont="1" applyBorder="1" applyAlignment="1" applyProtection="1">
      <alignment horizontal="center" vertical="center" shrinkToFit="1"/>
      <protection hidden="1"/>
    </xf>
    <xf numFmtId="0" fontId="2" fillId="8" borderId="16" xfId="0" applyFont="1" applyFill="1" applyBorder="1" applyAlignment="1" applyProtection="1">
      <alignment horizontal="center" vertical="center" shrinkToFit="1"/>
      <protection hidden="1"/>
    </xf>
    <xf numFmtId="41" fontId="2" fillId="0" borderId="16" xfId="1" applyFont="1" applyBorder="1" applyAlignment="1" applyProtection="1">
      <alignment vertical="center" shrinkToFit="1"/>
    </xf>
    <xf numFmtId="179" fontId="2" fillId="0" borderId="25" xfId="0" applyNumberFormat="1" applyFont="1" applyFill="1" applyBorder="1" applyAlignment="1" applyProtection="1">
      <alignment vertical="center" shrinkToFit="1"/>
    </xf>
    <xf numFmtId="176" fontId="2" fillId="0" borderId="25" xfId="0" applyNumberFormat="1" applyFont="1" applyFill="1" applyBorder="1" applyAlignment="1" applyProtection="1">
      <alignment vertical="center" shrinkToFit="1"/>
    </xf>
    <xf numFmtId="0" fontId="2" fillId="0" borderId="26" xfId="0" applyFont="1" applyFill="1" applyBorder="1" applyAlignment="1" applyProtection="1">
      <alignment horizontal="center" vertical="center" shrinkToFit="1"/>
    </xf>
    <xf numFmtId="0" fontId="2" fillId="0" borderId="28" xfId="0" applyFont="1" applyFill="1" applyBorder="1" applyAlignment="1" applyProtection="1">
      <alignment horizontal="center" vertical="center" shrinkToFit="1"/>
    </xf>
    <xf numFmtId="0" fontId="2" fillId="0" borderId="27" xfId="0" applyFont="1" applyBorder="1" applyAlignment="1" applyProtection="1">
      <alignment horizontal="center" vertical="center" shrinkToFit="1"/>
      <protection hidden="1"/>
    </xf>
    <xf numFmtId="41" fontId="2" fillId="8" borderId="16" xfId="1" applyFont="1" applyFill="1" applyBorder="1" applyAlignment="1" applyProtection="1">
      <alignment horizontal="center" vertical="center" shrinkToFit="1"/>
      <protection hidden="1"/>
    </xf>
    <xf numFmtId="0" fontId="2" fillId="0" borderId="29" xfId="0" applyFont="1" applyBorder="1" applyAlignment="1" applyProtection="1">
      <alignment horizontal="center" vertical="center" shrinkToFit="1"/>
      <protection hidden="1"/>
    </xf>
    <xf numFmtId="0" fontId="2" fillId="0" borderId="30" xfId="0" applyFont="1" applyBorder="1" applyAlignment="1" applyProtection="1">
      <alignment horizontal="center" vertical="center" shrinkToFit="1"/>
      <protection hidden="1"/>
    </xf>
    <xf numFmtId="0" fontId="2" fillId="8" borderId="30" xfId="0" applyFont="1" applyFill="1" applyBorder="1" applyAlignment="1" applyProtection="1">
      <alignment horizontal="center" vertical="center" shrinkToFit="1"/>
      <protection hidden="1"/>
    </xf>
    <xf numFmtId="41" fontId="2" fillId="0" borderId="30" xfId="1" applyFont="1" applyBorder="1" applyAlignment="1" applyProtection="1">
      <alignment vertical="center" shrinkToFit="1"/>
    </xf>
    <xf numFmtId="179" fontId="2" fillId="0" borderId="30" xfId="0" applyNumberFormat="1" applyFont="1" applyFill="1" applyBorder="1" applyAlignment="1" applyProtection="1">
      <alignment vertical="center" shrinkToFit="1"/>
    </xf>
    <xf numFmtId="176" fontId="2" fillId="0" borderId="30" xfId="0" applyNumberFormat="1" applyFont="1" applyFill="1" applyBorder="1" applyAlignment="1" applyProtection="1">
      <alignment vertical="center" shrinkToFit="1"/>
    </xf>
    <xf numFmtId="0" fontId="2" fillId="0" borderId="31" xfId="0" applyFont="1" applyFill="1" applyBorder="1" applyAlignment="1" applyProtection="1">
      <alignment horizontal="center" vertical="center" shrinkToFit="1"/>
    </xf>
    <xf numFmtId="0" fontId="7" fillId="8" borderId="44" xfId="0" applyFont="1" applyFill="1" applyBorder="1" applyAlignment="1" applyProtection="1">
      <alignment vertical="center"/>
      <protection hidden="1"/>
    </xf>
    <xf numFmtId="0" fontId="12" fillId="8" borderId="0" xfId="0" applyFont="1" applyFill="1" applyBorder="1" applyAlignment="1" applyProtection="1">
      <alignment vertical="center"/>
      <protection hidden="1"/>
    </xf>
    <xf numFmtId="0" fontId="7" fillId="8" borderId="0" xfId="0" quotePrefix="1" applyFont="1" applyFill="1" applyBorder="1" applyAlignment="1" applyProtection="1">
      <alignment vertical="center"/>
      <protection hidden="1"/>
    </xf>
    <xf numFmtId="0" fontId="12" fillId="8" borderId="61" xfId="0" applyFont="1" applyFill="1" applyBorder="1" applyAlignment="1" applyProtection="1">
      <alignment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77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185" fontId="2" fillId="0" borderId="16" xfId="0" applyNumberFormat="1" applyFont="1" applyBorder="1" applyAlignment="1" applyProtection="1">
      <alignment horizontal="center" vertical="center" shrinkToFit="1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179" fontId="2" fillId="0" borderId="16" xfId="0" applyNumberFormat="1" applyFont="1" applyBorder="1" applyAlignment="1" applyProtection="1">
      <alignment vertical="center"/>
      <protection hidden="1"/>
    </xf>
    <xf numFmtId="191" fontId="2" fillId="0" borderId="16" xfId="0" applyNumberFormat="1" applyFont="1" applyBorder="1" applyAlignment="1" applyProtection="1">
      <alignment vertical="center"/>
      <protection hidden="1"/>
    </xf>
    <xf numFmtId="191" fontId="2" fillId="0" borderId="28" xfId="0" applyNumberFormat="1" applyFont="1" applyBorder="1" applyAlignment="1" applyProtection="1">
      <alignment vertical="center"/>
      <protection hidden="1"/>
    </xf>
    <xf numFmtId="179" fontId="2" fillId="0" borderId="16" xfId="0" applyNumberFormat="1" applyFont="1" applyFill="1" applyBorder="1" applyAlignment="1" applyProtection="1">
      <alignment vertical="center"/>
      <protection hidden="1"/>
    </xf>
    <xf numFmtId="191" fontId="2" fillId="0" borderId="16" xfId="0" applyNumberFormat="1" applyFont="1" applyFill="1" applyBorder="1" applyAlignment="1" applyProtection="1">
      <alignment vertical="center"/>
      <protection hidden="1"/>
    </xf>
    <xf numFmtId="191" fontId="2" fillId="0" borderId="28" xfId="0" applyNumberFormat="1" applyFont="1" applyFill="1" applyBorder="1" applyAlignment="1" applyProtection="1">
      <alignment vertical="center"/>
      <protection hidden="1"/>
    </xf>
    <xf numFmtId="0" fontId="26" fillId="0" borderId="53" xfId="0" applyFont="1" applyBorder="1" applyAlignment="1" applyProtection="1">
      <alignment vertical="center"/>
      <protection hidden="1"/>
    </xf>
    <xf numFmtId="0" fontId="26" fillId="0" borderId="56" xfId="0" applyFont="1" applyBorder="1" applyAlignment="1" applyProtection="1">
      <alignment vertical="center"/>
      <protection hidden="1"/>
    </xf>
    <xf numFmtId="0" fontId="2" fillId="0" borderId="56" xfId="0" applyFont="1" applyFill="1" applyBorder="1" applyAlignment="1" applyProtection="1">
      <alignment vertical="center"/>
      <protection hidden="1"/>
    </xf>
    <xf numFmtId="0" fontId="26" fillId="0" borderId="56" xfId="0" applyFont="1" applyFill="1" applyBorder="1" applyAlignment="1" applyProtection="1">
      <alignment vertical="center"/>
      <protection hidden="1"/>
    </xf>
    <xf numFmtId="0" fontId="26" fillId="0" borderId="57" xfId="0" applyFont="1" applyBorder="1" applyAlignment="1" applyProtection="1">
      <alignment vertical="center"/>
      <protection hidden="1"/>
    </xf>
    <xf numFmtId="0" fontId="2" fillId="0" borderId="53" xfId="0" applyFont="1" applyBorder="1" applyAlignment="1" applyProtection="1">
      <alignment horizontal="right" vertical="center"/>
      <protection hidden="1"/>
    </xf>
    <xf numFmtId="0" fontId="2" fillId="0" borderId="56" xfId="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6" fillId="0" borderId="53" xfId="0" applyFont="1" applyBorder="1" applyAlignment="1" applyProtection="1">
      <alignment vertical="center"/>
      <protection hidden="1"/>
    </xf>
    <xf numFmtId="0" fontId="6" fillId="0" borderId="56" xfId="0" applyFont="1" applyBorder="1" applyAlignment="1" applyProtection="1">
      <alignment vertical="center"/>
      <protection hidden="1"/>
    </xf>
    <xf numFmtId="0" fontId="6" fillId="0" borderId="56" xfId="0" applyFont="1" applyFill="1" applyBorder="1" applyAlignment="1" applyProtection="1">
      <alignment vertical="center"/>
      <protection hidden="1"/>
    </xf>
    <xf numFmtId="0" fontId="6" fillId="0" borderId="57" xfId="0" applyFont="1" applyFill="1" applyBorder="1" applyAlignment="1" applyProtection="1">
      <alignment vertical="center"/>
      <protection hidden="1"/>
    </xf>
    <xf numFmtId="0" fontId="7" fillId="0" borderId="56" xfId="0" applyFont="1" applyBorder="1" applyAlignment="1" applyProtection="1">
      <alignment vertical="center"/>
      <protection hidden="1"/>
    </xf>
    <xf numFmtId="0" fontId="6" fillId="0" borderId="57" xfId="0" applyFont="1" applyBorder="1" applyAlignment="1" applyProtection="1">
      <alignment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82" fontId="2" fillId="0" borderId="16" xfId="0" applyNumberFormat="1" applyFont="1" applyBorder="1" applyAlignment="1" applyProtection="1">
      <alignment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179" fontId="2" fillId="4" borderId="16" xfId="0" applyNumberFormat="1" applyFont="1" applyFill="1" applyBorder="1" applyAlignment="1" applyProtection="1">
      <alignment vertical="center"/>
      <protection locked="0"/>
    </xf>
    <xf numFmtId="3" fontId="2" fillId="3" borderId="0" xfId="0" applyNumberFormat="1" applyFont="1" applyFill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horizontal="left" vertical="center" shrinkToFit="1"/>
      <protection hidden="1"/>
    </xf>
    <xf numFmtId="0" fontId="2" fillId="3" borderId="36" xfId="0" applyFont="1" applyFill="1" applyBorder="1" applyAlignment="1" applyProtection="1">
      <alignment vertical="center"/>
      <protection hidden="1"/>
    </xf>
    <xf numFmtId="179" fontId="17" fillId="0" borderId="16" xfId="0" applyNumberFormat="1" applyFont="1" applyFill="1" applyBorder="1" applyAlignment="1" applyProtection="1">
      <alignment horizontal="center" vertical="center"/>
      <protection hidden="1"/>
    </xf>
    <xf numFmtId="179" fontId="17" fillId="0" borderId="16" xfId="0" applyNumberFormat="1" applyFont="1" applyFill="1" applyBorder="1" applyAlignment="1" applyProtection="1">
      <alignment vertical="center"/>
      <protection hidden="1"/>
    </xf>
    <xf numFmtId="41" fontId="2" fillId="0" borderId="16" xfId="1" applyFont="1" applyFill="1" applyBorder="1" applyAlignment="1" applyProtection="1">
      <alignment vertical="center"/>
      <protection hidden="1"/>
    </xf>
    <xf numFmtId="0" fontId="2" fillId="0" borderId="53" xfId="0" applyFont="1" applyFill="1" applyBorder="1" applyAlignment="1" applyProtection="1">
      <alignment vertical="center"/>
      <protection hidden="1"/>
    </xf>
    <xf numFmtId="0" fontId="2" fillId="0" borderId="57" xfId="0" applyFont="1" applyFill="1" applyBorder="1" applyAlignment="1" applyProtection="1">
      <alignment vertical="center"/>
      <protection hidden="1"/>
    </xf>
    <xf numFmtId="0" fontId="26" fillId="0" borderId="27" xfId="0" applyFont="1" applyFill="1" applyBorder="1" applyAlignment="1" applyProtection="1">
      <alignment horizontal="left" vertical="center"/>
      <protection hidden="1"/>
    </xf>
    <xf numFmtId="0" fontId="26" fillId="0" borderId="49" xfId="0" applyFont="1" applyFill="1" applyBorder="1" applyAlignment="1" applyProtection="1">
      <alignment horizontal="left" vertical="center"/>
      <protection hidden="1"/>
    </xf>
    <xf numFmtId="0" fontId="26" fillId="0" borderId="56" xfId="0" applyFont="1" applyFill="1" applyBorder="1" applyAlignment="1" applyProtection="1">
      <alignment horizontal="left" vertical="center"/>
      <protection hidden="1"/>
    </xf>
    <xf numFmtId="0" fontId="2" fillId="0" borderId="56" xfId="0" applyFont="1" applyFill="1" applyBorder="1" applyAlignment="1" applyProtection="1">
      <alignment horizontal="right" vertical="center"/>
      <protection hidden="1"/>
    </xf>
    <xf numFmtId="0" fontId="2" fillId="0" borderId="50" xfId="0" applyFont="1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vertical="center"/>
      <protection hidden="1"/>
    </xf>
    <xf numFmtId="0" fontId="2" fillId="0" borderId="49" xfId="0" applyFont="1" applyFill="1" applyBorder="1" applyAlignment="1" applyProtection="1">
      <alignment vertical="center"/>
      <protection hidden="1"/>
    </xf>
    <xf numFmtId="0" fontId="2" fillId="0" borderId="83" xfId="0" applyFont="1" applyFill="1" applyBorder="1" applyAlignment="1" applyProtection="1">
      <alignment horizontal="center" vertical="center"/>
      <protection hidden="1"/>
    </xf>
    <xf numFmtId="0" fontId="2" fillId="0" borderId="71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6" fillId="0" borderId="53" xfId="0" applyFont="1" applyFill="1" applyBorder="1" applyAlignment="1" applyProtection="1">
      <alignment vertical="center"/>
      <protection hidden="1"/>
    </xf>
    <xf numFmtId="198" fontId="6" fillId="6" borderId="56" xfId="0" applyNumberFormat="1" applyFont="1" applyFill="1" applyBorder="1" applyAlignment="1" applyProtection="1">
      <alignment vertical="center"/>
      <protection hidden="1"/>
    </xf>
    <xf numFmtId="0" fontId="2" fillId="0" borderId="56" xfId="0" applyFont="1" applyFill="1" applyBorder="1" applyAlignment="1" applyProtection="1">
      <alignment horizontal="left" vertical="center"/>
      <protection hidden="1"/>
    </xf>
    <xf numFmtId="0" fontId="12" fillId="0" borderId="65" xfId="0" applyFont="1" applyBorder="1" applyAlignment="1" applyProtection="1">
      <alignment horizontal="center" vertical="center"/>
      <protection hidden="1"/>
    </xf>
    <xf numFmtId="182" fontId="12" fillId="8" borderId="65" xfId="0" applyNumberFormat="1" applyFont="1" applyFill="1" applyBorder="1" applyAlignment="1" applyProtection="1">
      <alignment vertical="center"/>
      <protection hidden="1"/>
    </xf>
    <xf numFmtId="179" fontId="12" fillId="0" borderId="65" xfId="0" applyNumberFormat="1" applyFont="1" applyBorder="1" applyAlignment="1" applyProtection="1">
      <alignment vertical="center"/>
      <protection hidden="1"/>
    </xf>
    <xf numFmtId="182" fontId="12" fillId="0" borderId="85" xfId="0" applyNumberFormat="1" applyFont="1" applyFill="1" applyBorder="1" applyAlignment="1" applyProtection="1">
      <alignment horizontal="center" vertical="center"/>
      <protection hidden="1"/>
    </xf>
    <xf numFmtId="0" fontId="26" fillId="0" borderId="44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 applyProtection="1">
      <alignment horizontal="left" vertical="center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26" fillId="0" borderId="24" xfId="0" applyFont="1" applyBorder="1" applyAlignment="1" applyProtection="1">
      <alignment horizontal="center" vertical="center"/>
      <protection hidden="1"/>
    </xf>
    <xf numFmtId="176" fontId="26" fillId="0" borderId="25" xfId="0" applyNumberFormat="1" applyFont="1" applyBorder="1" applyAlignment="1" applyProtection="1">
      <alignment vertical="center"/>
      <protection hidden="1"/>
    </xf>
    <xf numFmtId="179" fontId="26" fillId="0" borderId="25" xfId="0" applyNumberFormat="1" applyFont="1" applyBorder="1" applyAlignment="1" applyProtection="1">
      <alignment vertical="center"/>
      <protection hidden="1"/>
    </xf>
    <xf numFmtId="0" fontId="29" fillId="0" borderId="26" xfId="0" applyFont="1" applyBorder="1" applyAlignment="1" applyProtection="1">
      <alignment horizontal="center" vertical="center"/>
      <protection hidden="1"/>
    </xf>
    <xf numFmtId="0" fontId="12" fillId="0" borderId="27" xfId="0" applyNumberFormat="1" applyFont="1" applyFill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Fill="1" applyBorder="1" applyAlignment="1" applyProtection="1">
      <alignment vertical="center" shrinkToFit="1"/>
      <protection hidden="1"/>
    </xf>
    <xf numFmtId="0" fontId="12" fillId="0" borderId="28" xfId="0" applyFont="1" applyFill="1" applyBorder="1" applyAlignment="1" applyProtection="1">
      <alignment vertical="center" shrinkToFit="1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29" fillId="3" borderId="0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2" fillId="0" borderId="61" xfId="0" applyFont="1" applyBorder="1" applyAlignment="1">
      <alignment vertical="center"/>
    </xf>
    <xf numFmtId="0" fontId="29" fillId="0" borderId="61" xfId="0" applyFont="1" applyBorder="1" applyAlignment="1" applyProtection="1">
      <alignment vertical="center"/>
      <protection hidden="1"/>
    </xf>
    <xf numFmtId="178" fontId="12" fillId="0" borderId="30" xfId="0" applyNumberFormat="1" applyFont="1" applyFill="1" applyBorder="1" applyAlignment="1" applyProtection="1">
      <alignment vertical="center" shrinkToFit="1"/>
      <protection hidden="1"/>
    </xf>
    <xf numFmtId="0" fontId="12" fillId="0" borderId="31" xfId="0" applyFont="1" applyFill="1" applyBorder="1" applyAlignment="1" applyProtection="1">
      <alignment vertical="center" shrinkToFit="1"/>
      <protection hidden="1"/>
    </xf>
    <xf numFmtId="0" fontId="2" fillId="0" borderId="61" xfId="0" applyFont="1" applyFill="1" applyBorder="1" applyAlignment="1" applyProtection="1">
      <alignment vertical="center"/>
      <protection hidden="1"/>
    </xf>
    <xf numFmtId="180" fontId="12" fillId="0" borderId="16" xfId="0" applyNumberFormat="1" applyFont="1" applyFill="1" applyBorder="1" applyAlignment="1" applyProtection="1">
      <alignment vertical="center" shrinkToFit="1"/>
      <protection hidden="1"/>
    </xf>
    <xf numFmtId="0" fontId="12" fillId="8" borderId="44" xfId="0" applyFont="1" applyFill="1" applyBorder="1" applyAlignment="1" applyProtection="1">
      <alignment vertical="center"/>
      <protection hidden="1"/>
    </xf>
    <xf numFmtId="0" fontId="26" fillId="8" borderId="44" xfId="0" applyFont="1" applyFill="1" applyBorder="1" applyAlignment="1" applyProtection="1">
      <alignment horizontal="right" vertical="center"/>
      <protection hidden="1"/>
    </xf>
    <xf numFmtId="0" fontId="29" fillId="8" borderId="0" xfId="0" applyFont="1" applyFill="1" applyBorder="1" applyAlignment="1" applyProtection="1">
      <alignment vertical="center"/>
      <protection hidden="1"/>
    </xf>
    <xf numFmtId="0" fontId="26" fillId="0" borderId="78" xfId="0" applyFont="1" applyBorder="1" applyAlignment="1" applyProtection="1">
      <alignment horizontal="left" vertical="center"/>
      <protection hidden="1"/>
    </xf>
    <xf numFmtId="0" fontId="26" fillId="0" borderId="33" xfId="0" applyFont="1" applyBorder="1" applyAlignment="1" applyProtection="1">
      <alignment horizontal="center" vertical="center"/>
      <protection hidden="1"/>
    </xf>
    <xf numFmtId="0" fontId="26" fillId="0" borderId="77" xfId="0" applyFont="1" applyBorder="1" applyAlignment="1" applyProtection="1">
      <alignment horizontal="center" vertical="center"/>
      <protection hidden="1"/>
    </xf>
    <xf numFmtId="0" fontId="26" fillId="0" borderId="25" xfId="0" applyFont="1" applyBorder="1" applyAlignment="1" applyProtection="1">
      <alignment horizontal="center" vertical="center"/>
      <protection hidden="1"/>
    </xf>
    <xf numFmtId="199" fontId="21" fillId="0" borderId="25" xfId="1" applyNumberFormat="1" applyFont="1" applyBorder="1" applyAlignment="1" applyProtection="1">
      <alignment horizontal="center" vertical="center"/>
      <protection hidden="1"/>
    </xf>
    <xf numFmtId="41" fontId="21" fillId="0" borderId="25" xfId="1" applyNumberFormat="1" applyFont="1" applyBorder="1" applyAlignment="1" applyProtection="1">
      <alignment horizontal="center" vertical="center"/>
      <protection hidden="1"/>
    </xf>
    <xf numFmtId="0" fontId="26" fillId="0" borderId="26" xfId="0" applyFont="1" applyBorder="1" applyAlignment="1" applyProtection="1">
      <alignment horizontal="center" vertical="center"/>
      <protection hidden="1"/>
    </xf>
    <xf numFmtId="0" fontId="30" fillId="0" borderId="27" xfId="0" applyFont="1" applyBorder="1" applyAlignment="1" applyProtection="1">
      <alignment horizontal="center" vertical="center" shrinkToFit="1"/>
      <protection hidden="1"/>
    </xf>
    <xf numFmtId="0" fontId="12" fillId="0" borderId="16" xfId="0" applyFont="1" applyBorder="1" applyAlignment="1" applyProtection="1">
      <alignment horizontal="center" vertical="center" shrinkToFit="1"/>
      <protection hidden="1"/>
    </xf>
    <xf numFmtId="41" fontId="12" fillId="0" borderId="16" xfId="1" applyFont="1" applyBorder="1" applyAlignment="1" applyProtection="1">
      <alignment horizontal="center" vertical="center" shrinkToFit="1"/>
      <protection hidden="1"/>
    </xf>
    <xf numFmtId="191" fontId="12" fillId="0" borderId="16" xfId="0" applyNumberFormat="1" applyFont="1" applyBorder="1" applyAlignment="1" applyProtection="1">
      <alignment vertical="center" shrinkToFit="1"/>
      <protection hidden="1"/>
    </xf>
    <xf numFmtId="191" fontId="30" fillId="0" borderId="16" xfId="0" applyNumberFormat="1" applyFont="1" applyBorder="1" applyAlignment="1" applyProtection="1">
      <alignment vertical="center" shrinkToFit="1"/>
      <protection hidden="1"/>
    </xf>
    <xf numFmtId="0" fontId="12" fillId="8" borderId="28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vertical="center"/>
    </xf>
    <xf numFmtId="0" fontId="12" fillId="0" borderId="28" xfId="0" applyFont="1" applyFill="1" applyBorder="1" applyAlignment="1" applyProtection="1">
      <alignment horizontal="center" vertical="center"/>
      <protection hidden="1"/>
    </xf>
    <xf numFmtId="185" fontId="2" fillId="3" borderId="0" xfId="0" applyNumberFormat="1" applyFont="1" applyFill="1" applyAlignment="1" applyProtection="1">
      <alignment vertical="center"/>
      <protection hidden="1"/>
    </xf>
    <xf numFmtId="0" fontId="30" fillId="0" borderId="29" xfId="0" applyFont="1" applyBorder="1" applyAlignment="1" applyProtection="1">
      <alignment horizontal="center" vertical="center" shrinkToFit="1"/>
      <protection hidden="1"/>
    </xf>
    <xf numFmtId="0" fontId="12" fillId="0" borderId="30" xfId="0" applyFont="1" applyBorder="1" applyAlignment="1" applyProtection="1">
      <alignment horizontal="center" vertical="center" shrinkToFit="1"/>
      <protection hidden="1"/>
    </xf>
    <xf numFmtId="41" fontId="12" fillId="0" borderId="30" xfId="1" applyFont="1" applyBorder="1" applyAlignment="1" applyProtection="1">
      <alignment horizontal="center" vertical="center" shrinkToFit="1"/>
      <protection hidden="1"/>
    </xf>
    <xf numFmtId="191" fontId="12" fillId="0" borderId="30" xfId="0" applyNumberFormat="1" applyFont="1" applyBorder="1" applyAlignment="1" applyProtection="1">
      <alignment vertical="center" shrinkToFit="1"/>
      <protection hidden="1"/>
    </xf>
    <xf numFmtId="191" fontId="30" fillId="0" borderId="30" xfId="0" applyNumberFormat="1" applyFont="1" applyBorder="1" applyAlignment="1" applyProtection="1">
      <alignment vertical="center" shrinkToFit="1"/>
      <protection hidden="1"/>
    </xf>
    <xf numFmtId="0" fontId="12" fillId="8" borderId="31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</xf>
    <xf numFmtId="177" fontId="2" fillId="0" borderId="0" xfId="0" applyNumberFormat="1" applyFont="1" applyFill="1" applyBorder="1" applyAlignment="1" applyProtection="1">
      <alignment horizontal="right" vertical="center"/>
    </xf>
    <xf numFmtId="178" fontId="2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33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vertical="center"/>
      <protection hidden="1"/>
    </xf>
    <xf numFmtId="182" fontId="2" fillId="4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2" fillId="0" borderId="0" xfId="0" applyNumberFormat="1" applyFont="1" applyFill="1" applyBorder="1" applyAlignment="1" applyProtection="1">
      <alignment vertical="center" shrinkToFit="1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179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33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200" fontId="2" fillId="0" borderId="3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41" fontId="2" fillId="4" borderId="51" xfId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179" fontId="2" fillId="0" borderId="16" xfId="0" applyNumberFormat="1" applyFont="1" applyFill="1" applyBorder="1" applyAlignment="1" applyProtection="1">
      <alignment vertical="center"/>
      <protection hidden="1"/>
    </xf>
    <xf numFmtId="41" fontId="2" fillId="0" borderId="51" xfId="1" applyFont="1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vertical="center"/>
      <protection hidden="1"/>
    </xf>
    <xf numFmtId="0" fontId="2" fillId="0" borderId="78" xfId="0" applyFont="1" applyFill="1" applyBorder="1" applyAlignment="1" applyProtection="1">
      <alignment vertical="center"/>
      <protection hidden="1"/>
    </xf>
    <xf numFmtId="0" fontId="2" fillId="0" borderId="79" xfId="0" applyFont="1" applyFill="1" applyBorder="1" applyAlignment="1" applyProtection="1">
      <alignment vertical="center"/>
      <protection hidden="1"/>
    </xf>
    <xf numFmtId="180" fontId="6" fillId="0" borderId="16" xfId="0" quotePrefix="1" applyNumberFormat="1" applyFont="1" applyFill="1" applyBorder="1" applyAlignment="1" applyProtection="1">
      <alignment horizontal="center" vertical="center"/>
      <protection hidden="1"/>
    </xf>
    <xf numFmtId="0" fontId="23" fillId="0" borderId="30" xfId="0" applyFont="1" applyBorder="1" applyAlignment="1" applyProtection="1">
      <alignment horizontal="center" vertical="center" shrinkToFit="1"/>
      <protection hidden="1"/>
    </xf>
    <xf numFmtId="0" fontId="2" fillId="0" borderId="25" xfId="2" applyNumberFormat="1" applyFont="1" applyBorder="1" applyAlignment="1" applyProtection="1">
      <alignment vertical="center" shrinkToFit="1"/>
    </xf>
    <xf numFmtId="0" fontId="2" fillId="0" borderId="30" xfId="2" applyNumberFormat="1" applyFont="1" applyBorder="1" applyAlignment="1" applyProtection="1">
      <alignment vertical="center" shrinkToFit="1"/>
    </xf>
    <xf numFmtId="176" fontId="12" fillId="3" borderId="0" xfId="0" applyNumberFormat="1" applyFont="1" applyFill="1" applyAlignment="1" applyProtection="1">
      <alignment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9" fillId="0" borderId="33" xfId="0" applyFont="1" applyBorder="1" applyAlignment="1" applyProtection="1">
      <alignment horizontal="center" vertical="center"/>
      <protection hidden="1"/>
    </xf>
    <xf numFmtId="0" fontId="29" fillId="0" borderId="81" xfId="0" applyFont="1" applyBorder="1" applyAlignment="1" applyProtection="1">
      <alignment horizontal="center" vertical="center"/>
      <protection hidden="1"/>
    </xf>
    <xf numFmtId="0" fontId="26" fillId="0" borderId="24" xfId="0" applyFont="1" applyBorder="1" applyAlignment="1" applyProtection="1">
      <alignment horizontal="center" vertical="center"/>
      <protection hidden="1"/>
    </xf>
    <xf numFmtId="178" fontId="2" fillId="4" borderId="16" xfId="0" applyNumberFormat="1" applyFont="1" applyFill="1" applyBorder="1" applyAlignment="1" applyProtection="1">
      <alignment horizontal="center" vertical="center" shrinkToFit="1"/>
      <protection locked="0"/>
    </xf>
    <xf numFmtId="178" fontId="2" fillId="4" borderId="3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6" xfId="0" applyFont="1" applyFill="1" applyBorder="1" applyAlignment="1" applyProtection="1">
      <alignment vertical="center" shrinkToFit="1"/>
      <protection hidden="1"/>
    </xf>
    <xf numFmtId="201" fontId="2" fillId="4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179" fontId="2" fillId="3" borderId="36" xfId="1" applyNumberFormat="1" applyFont="1" applyFill="1" applyBorder="1" applyAlignment="1" applyProtection="1">
      <alignment horizontal="center" vertical="center"/>
      <protection hidden="1"/>
    </xf>
    <xf numFmtId="179" fontId="2" fillId="3" borderId="0" xfId="0" applyNumberFormat="1" applyFont="1" applyFill="1" applyAlignment="1" applyProtection="1">
      <protection hidden="1"/>
    </xf>
    <xf numFmtId="182" fontId="12" fillId="8" borderId="72" xfId="0" applyNumberFormat="1" applyFont="1" applyFill="1" applyBorder="1" applyAlignment="1" applyProtection="1">
      <alignment vertical="center"/>
      <protection hidden="1"/>
    </xf>
    <xf numFmtId="182" fontId="12" fillId="8" borderId="72" xfId="0" applyNumberFormat="1" applyFont="1" applyFill="1" applyBorder="1" applyAlignment="1" applyProtection="1">
      <alignment vertical="center"/>
      <protection hidden="1"/>
    </xf>
    <xf numFmtId="182" fontId="12" fillId="8" borderId="74" xfId="0" applyNumberFormat="1" applyFont="1" applyFill="1" applyBorder="1" applyAlignment="1" applyProtection="1">
      <alignment horizontal="center" vertical="center" shrinkToFit="1"/>
      <protection hidden="1"/>
    </xf>
    <xf numFmtId="203" fontId="2" fillId="4" borderId="51" xfId="0" applyNumberFormat="1" applyFont="1" applyFill="1" applyBorder="1" applyAlignment="1" applyProtection="1">
      <alignment horizontal="center" vertical="center"/>
      <protection locked="0"/>
    </xf>
    <xf numFmtId="204" fontId="2" fillId="4" borderId="16" xfId="0" applyNumberFormat="1" applyFont="1" applyFill="1" applyBorder="1" applyAlignment="1" applyProtection="1">
      <alignment vertical="center" shrinkToFit="1"/>
      <protection locked="0"/>
    </xf>
    <xf numFmtId="0" fontId="12" fillId="0" borderId="69" xfId="0" applyFont="1" applyBorder="1" applyAlignment="1" applyProtection="1">
      <alignment horizontal="center" vertical="center"/>
      <protection hidden="1"/>
    </xf>
    <xf numFmtId="0" fontId="12" fillId="0" borderId="72" xfId="0" applyFont="1" applyBorder="1" applyAlignment="1" applyProtection="1">
      <alignment horizontal="center" vertical="center"/>
      <protection hidden="1"/>
    </xf>
    <xf numFmtId="0" fontId="12" fillId="0" borderId="69" xfId="0" applyFont="1" applyBorder="1" applyAlignment="1" applyProtection="1">
      <alignment horizontal="center" vertical="center"/>
      <protection hidden="1"/>
    </xf>
    <xf numFmtId="0" fontId="12" fillId="0" borderId="72" xfId="0" applyFont="1" applyBorder="1" applyAlignment="1" applyProtection="1">
      <alignment horizontal="center" vertical="center"/>
      <protection hidden="1"/>
    </xf>
    <xf numFmtId="182" fontId="6" fillId="2" borderId="95" xfId="0" applyNumberFormat="1" applyFont="1" applyFill="1" applyBorder="1" applyAlignment="1" applyProtection="1">
      <alignment vertical="center"/>
      <protection locked="0"/>
    </xf>
    <xf numFmtId="0" fontId="6" fillId="2" borderId="95" xfId="0" applyFont="1" applyFill="1" applyBorder="1" applyAlignment="1" applyProtection="1">
      <alignment horizontal="center" vertical="center" shrinkToFit="1"/>
      <protection locked="0"/>
    </xf>
    <xf numFmtId="179" fontId="2" fillId="2" borderId="55" xfId="0" applyNumberFormat="1" applyFont="1" applyFill="1" applyBorder="1" applyAlignment="1" applyProtection="1">
      <protection locked="0"/>
    </xf>
    <xf numFmtId="179" fontId="2" fillId="2" borderId="49" xfId="0" applyNumberFormat="1" applyFont="1" applyFill="1" applyBorder="1" applyAlignment="1" applyProtection="1">
      <protection locked="0"/>
    </xf>
    <xf numFmtId="179" fontId="2" fillId="2" borderId="39" xfId="0" applyNumberFormat="1" applyFont="1" applyFill="1" applyBorder="1" applyAlignment="1" applyProtection="1">
      <protection locked="0"/>
    </xf>
    <xf numFmtId="182" fontId="6" fillId="2" borderId="94" xfId="0" applyNumberFormat="1" applyFont="1" applyFill="1" applyBorder="1" applyAlignment="1" applyProtection="1">
      <alignment vertical="center"/>
      <protection locked="0"/>
    </xf>
    <xf numFmtId="0" fontId="6" fillId="2" borderId="94" xfId="0" applyFont="1" applyFill="1" applyBorder="1" applyAlignment="1" applyProtection="1">
      <alignment horizontal="center" vertical="center" shrinkToFit="1"/>
      <protection locked="0"/>
    </xf>
    <xf numFmtId="179" fontId="2" fillId="2" borderId="88" xfId="0" applyNumberFormat="1" applyFont="1" applyFill="1" applyBorder="1" applyAlignment="1" applyProtection="1">
      <protection locked="0"/>
    </xf>
    <xf numFmtId="179" fontId="2" fillId="2" borderId="57" xfId="0" applyNumberFormat="1" applyFont="1" applyFill="1" applyBorder="1" applyAlignment="1" applyProtection="1">
      <protection locked="0"/>
    </xf>
    <xf numFmtId="179" fontId="2" fillId="2" borderId="41" xfId="0" applyNumberFormat="1" applyFont="1" applyFill="1" applyBorder="1" applyAlignment="1" applyProtection="1">
      <protection locked="0"/>
    </xf>
    <xf numFmtId="182" fontId="6" fillId="2" borderId="93" xfId="0" applyNumberFormat="1" applyFont="1" applyFill="1" applyBorder="1" applyAlignment="1" applyProtection="1">
      <alignment vertical="center"/>
      <protection locked="0"/>
    </xf>
    <xf numFmtId="0" fontId="6" fillId="2" borderId="93" xfId="0" applyFont="1" applyFill="1" applyBorder="1" applyAlignment="1" applyProtection="1">
      <alignment horizontal="center" vertical="center" shrinkToFit="1"/>
      <protection locked="0"/>
    </xf>
    <xf numFmtId="179" fontId="2" fillId="2" borderId="51" xfId="0" applyNumberFormat="1" applyFont="1" applyFill="1" applyBorder="1" applyAlignment="1" applyProtection="1">
      <protection locked="0"/>
    </xf>
    <xf numFmtId="179" fontId="2" fillId="2" borderId="56" xfId="0" applyNumberFormat="1" applyFont="1" applyFill="1" applyBorder="1" applyAlignment="1" applyProtection="1">
      <protection locked="0"/>
    </xf>
    <xf numFmtId="179" fontId="2" fillId="2" borderId="47" xfId="0" applyNumberFormat="1" applyFont="1" applyFill="1" applyBorder="1" applyAlignment="1" applyProtection="1">
      <protection locked="0"/>
    </xf>
    <xf numFmtId="0" fontId="2" fillId="0" borderId="59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86" xfId="0" applyFont="1" applyFill="1" applyBorder="1" applyAlignment="1" applyProtection="1">
      <alignment horizontal="center" vertical="center"/>
      <protection hidden="1"/>
    </xf>
    <xf numFmtId="0" fontId="2" fillId="0" borderId="87" xfId="0" applyFont="1" applyFill="1" applyBorder="1" applyAlignment="1" applyProtection="1">
      <alignment horizontal="center" vertical="center"/>
      <protection hidden="1"/>
    </xf>
    <xf numFmtId="0" fontId="2" fillId="0" borderId="33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righ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179" fontId="2" fillId="0" borderId="16" xfId="0" applyNumberFormat="1" applyFont="1" applyFill="1" applyBorder="1" applyAlignment="1" applyProtection="1">
      <alignment vertical="center"/>
      <protection hidden="1"/>
    </xf>
    <xf numFmtId="0" fontId="12" fillId="3" borderId="36" xfId="0" applyFont="1" applyFill="1" applyBorder="1" applyAlignment="1" applyProtection="1">
      <alignment horizontal="center" vertical="center"/>
      <protection hidden="1"/>
    </xf>
    <xf numFmtId="0" fontId="14" fillId="3" borderId="36" xfId="0" applyFont="1" applyFill="1" applyBorder="1" applyAlignment="1" applyProtection="1">
      <alignment horizontal="justify"/>
    </xf>
    <xf numFmtId="0" fontId="12" fillId="3" borderId="36" xfId="0" applyFont="1" applyFill="1" applyBorder="1" applyAlignment="1" applyProtection="1">
      <protection hidden="1"/>
    </xf>
    <xf numFmtId="0" fontId="12" fillId="3" borderId="36" xfId="0" applyFont="1" applyFill="1" applyBorder="1" applyAlignment="1" applyProtection="1">
      <alignment horizontal="center"/>
      <protection hidden="1"/>
    </xf>
    <xf numFmtId="0" fontId="12" fillId="0" borderId="46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205" fontId="12" fillId="0" borderId="0" xfId="0" applyNumberFormat="1" applyFont="1" applyFill="1" applyBorder="1" applyAlignment="1" applyProtection="1">
      <alignment horizontal="center" vertical="center"/>
      <protection hidden="1"/>
    </xf>
    <xf numFmtId="205" fontId="12" fillId="0" borderId="46" xfId="0" applyNumberFormat="1" applyFont="1" applyFill="1" applyBorder="1" applyAlignment="1" applyProtection="1">
      <alignment horizontal="center" vertical="center"/>
      <protection hidden="1"/>
    </xf>
    <xf numFmtId="41" fontId="12" fillId="3" borderId="36" xfId="1" applyFont="1" applyFill="1" applyBorder="1" applyAlignment="1" applyProtection="1">
      <protection hidden="1"/>
    </xf>
    <xf numFmtId="0" fontId="2" fillId="0" borderId="96" xfId="0" applyFont="1" applyFill="1" applyBorder="1" applyAlignment="1" applyProtection="1">
      <alignment horizontal="center" vertical="center"/>
      <protection hidden="1"/>
    </xf>
    <xf numFmtId="182" fontId="2" fillId="4" borderId="37" xfId="0" applyNumberFormat="1" applyFont="1" applyFill="1" applyBorder="1" applyAlignment="1" applyProtection="1">
      <alignment horizontal="center" vertical="center" wrapText="1"/>
      <protection locked="0"/>
    </xf>
    <xf numFmtId="182" fontId="2" fillId="4" borderId="30" xfId="0" applyNumberFormat="1" applyFont="1" applyFill="1" applyBorder="1" applyAlignment="1" applyProtection="1">
      <alignment vertical="center" wrapText="1"/>
      <protection locked="0"/>
    </xf>
    <xf numFmtId="184" fontId="2" fillId="0" borderId="30" xfId="0" applyNumberFormat="1" applyFont="1" applyFill="1" applyBorder="1" applyAlignment="1" applyProtection="1">
      <alignment horizontal="center" vertical="center" wrapText="1"/>
      <protection hidden="1"/>
    </xf>
    <xf numFmtId="185" fontId="2" fillId="0" borderId="30" xfId="0" applyNumberFormat="1" applyFont="1" applyFill="1" applyBorder="1" applyAlignment="1" applyProtection="1">
      <alignment horizontal="center" vertical="center" wrapText="1"/>
      <protection hidden="1"/>
    </xf>
    <xf numFmtId="182" fontId="2" fillId="4" borderId="30" xfId="0" applyNumberFormat="1" applyFont="1" applyFill="1" applyBorder="1" applyAlignment="1" applyProtection="1">
      <alignment horizontal="center" vertical="center" wrapText="1"/>
      <protection locked="0"/>
    </xf>
    <xf numFmtId="186" fontId="2" fillId="2" borderId="39" xfId="0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0" xfId="0" quotePrefix="1" applyFont="1" applyFill="1" applyAlignment="1" applyProtection="1">
      <alignment vertical="center"/>
      <protection hidden="1"/>
    </xf>
    <xf numFmtId="180" fontId="2" fillId="4" borderId="31" xfId="0" applyNumberFormat="1" applyFont="1" applyFill="1" applyBorder="1" applyAlignment="1" applyProtection="1">
      <alignment horizontal="center" vertical="center" shrinkToFit="1"/>
      <protection locked="0"/>
    </xf>
    <xf numFmtId="202" fontId="31" fillId="0" borderId="16" xfId="1" quotePrefix="1" applyNumberFormat="1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vertical="center"/>
      <protection hidden="1"/>
    </xf>
    <xf numFmtId="202" fontId="17" fillId="4" borderId="16" xfId="1" applyNumberFormat="1" applyFont="1" applyFill="1" applyBorder="1" applyAlignment="1" applyProtection="1">
      <alignment horizontal="center" vertical="center" shrinkToFit="1"/>
      <protection locked="0"/>
    </xf>
    <xf numFmtId="202" fontId="17" fillId="4" borderId="30" xfId="1" applyNumberFormat="1" applyFont="1" applyFill="1" applyBorder="1" applyAlignment="1" applyProtection="1">
      <alignment horizontal="center" vertical="center" shrinkToFit="1"/>
      <protection locked="0"/>
    </xf>
    <xf numFmtId="0" fontId="17" fillId="0" borderId="31" xfId="0" applyFont="1" applyFill="1" applyBorder="1" applyAlignment="1" applyProtection="1">
      <alignment vertical="center"/>
      <protection hidden="1"/>
    </xf>
    <xf numFmtId="0" fontId="2" fillId="0" borderId="49" xfId="0" applyFont="1" applyBorder="1" applyAlignment="1" applyProtection="1">
      <alignment vertical="center"/>
      <protection hidden="1"/>
    </xf>
    <xf numFmtId="0" fontId="17" fillId="3" borderId="94" xfId="0" applyFont="1" applyFill="1" applyBorder="1" applyAlignment="1" applyProtection="1">
      <alignment vertical="center"/>
      <protection hidden="1"/>
    </xf>
    <xf numFmtId="0" fontId="17" fillId="3" borderId="36" xfId="0" applyFont="1" applyFill="1" applyBorder="1" applyAlignment="1" applyProtection="1">
      <alignment vertical="center"/>
      <protection hidden="1"/>
    </xf>
    <xf numFmtId="0" fontId="17" fillId="3" borderId="32" xfId="0" applyFont="1" applyFill="1" applyBorder="1" applyAlignment="1" applyProtection="1">
      <alignment vertical="center"/>
      <protection hidden="1"/>
    </xf>
    <xf numFmtId="0" fontId="17" fillId="3" borderId="34" xfId="0" applyFont="1" applyFill="1" applyBorder="1" applyAlignment="1" applyProtection="1">
      <alignment vertical="center"/>
      <protection hidden="1"/>
    </xf>
    <xf numFmtId="0" fontId="17" fillId="3" borderId="35" xfId="0" applyFont="1" applyFill="1" applyBorder="1" applyAlignment="1" applyProtection="1">
      <alignment vertical="center"/>
      <protection hidden="1"/>
    </xf>
    <xf numFmtId="207" fontId="17" fillId="3" borderId="29" xfId="0" applyNumberFormat="1" applyFont="1" applyFill="1" applyBorder="1" applyAlignment="1" applyProtection="1">
      <alignment vertical="center"/>
      <protection hidden="1"/>
    </xf>
    <xf numFmtId="207" fontId="17" fillId="3" borderId="30" xfId="0" applyNumberFormat="1" applyFont="1" applyFill="1" applyBorder="1" applyAlignment="1" applyProtection="1">
      <alignment vertical="center"/>
      <protection hidden="1"/>
    </xf>
    <xf numFmtId="10" fontId="17" fillId="3" borderId="31" xfId="2" applyNumberFormat="1" applyFont="1" applyFill="1" applyBorder="1" applyAlignment="1" applyProtection="1">
      <alignment vertical="center"/>
      <protection hidden="1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Alignment="1" applyProtection="1">
      <alignment horizontal="center"/>
      <protection hidden="1"/>
    </xf>
    <xf numFmtId="179" fontId="2" fillId="0" borderId="16" xfId="0" applyNumberFormat="1" applyFont="1" applyFill="1" applyBorder="1" applyAlignment="1" applyProtection="1">
      <alignment vertical="center"/>
      <protection hidden="1"/>
    </xf>
    <xf numFmtId="0" fontId="12" fillId="3" borderId="36" xfId="1" applyNumberFormat="1" applyFont="1" applyFill="1" applyBorder="1" applyAlignment="1" applyProtection="1">
      <alignment horizontal="right" vertical="center"/>
      <protection hidden="1"/>
    </xf>
    <xf numFmtId="0" fontId="12" fillId="3" borderId="36" xfId="1" applyNumberFormat="1" applyFont="1" applyFill="1" applyBorder="1" applyAlignment="1" applyProtection="1">
      <alignment horizontal="right"/>
      <protection hidden="1"/>
    </xf>
    <xf numFmtId="179" fontId="2" fillId="0" borderId="16" xfId="0" applyNumberFormat="1" applyFont="1" applyFill="1" applyBorder="1" applyAlignment="1" applyProtection="1">
      <alignment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41" fontId="2" fillId="4" borderId="16" xfId="0" applyNumberFormat="1" applyFont="1" applyFill="1" applyBorder="1" applyAlignment="1" applyProtection="1">
      <alignment vertical="center"/>
      <protection locked="0"/>
    </xf>
    <xf numFmtId="208" fontId="12" fillId="0" borderId="16" xfId="0" applyNumberFormat="1" applyFont="1" applyBorder="1" applyAlignment="1" applyProtection="1">
      <alignment vertical="center" shrinkToFit="1"/>
      <protection hidden="1"/>
    </xf>
    <xf numFmtId="208" fontId="12" fillId="0" borderId="30" xfId="0" applyNumberFormat="1" applyFont="1" applyBorder="1" applyAlignment="1" applyProtection="1">
      <alignment vertical="center" shrinkToFit="1"/>
      <protection hidden="1"/>
    </xf>
    <xf numFmtId="199" fontId="2" fillId="0" borderId="16" xfId="1" applyNumberFormat="1" applyFont="1" applyBorder="1" applyAlignment="1" applyProtection="1">
      <alignment vertical="center" shrinkToFit="1"/>
    </xf>
    <xf numFmtId="199" fontId="2" fillId="8" borderId="16" xfId="0" applyNumberFormat="1" applyFont="1" applyFill="1" applyBorder="1" applyAlignment="1" applyProtection="1">
      <alignment vertical="center" shrinkToFit="1"/>
    </xf>
    <xf numFmtId="199" fontId="2" fillId="8" borderId="30" xfId="0" applyNumberFormat="1" applyFont="1" applyFill="1" applyBorder="1" applyAlignment="1" applyProtection="1">
      <alignment vertical="center" shrinkToFit="1"/>
    </xf>
    <xf numFmtId="180" fontId="12" fillId="0" borderId="30" xfId="0" applyNumberFormat="1" applyFont="1" applyFill="1" applyBorder="1" applyAlignment="1" applyProtection="1">
      <alignment vertical="center" shrinkToFit="1"/>
      <protection hidden="1"/>
    </xf>
    <xf numFmtId="180" fontId="2" fillId="0" borderId="17" xfId="0" applyNumberFormat="1" applyFont="1" applyFill="1" applyBorder="1" applyAlignment="1" applyProtection="1">
      <alignment horizontal="right" vertical="center"/>
      <protection hidden="1"/>
    </xf>
    <xf numFmtId="180" fontId="2" fillId="0" borderId="18" xfId="0" applyNumberFormat="1" applyFont="1" applyFill="1" applyBorder="1" applyAlignment="1" applyProtection="1">
      <alignment horizontal="right" vertical="center"/>
      <protection hidden="1"/>
    </xf>
    <xf numFmtId="180" fontId="2" fillId="0" borderId="21" xfId="0" applyNumberFormat="1" applyFont="1" applyFill="1" applyBorder="1" applyAlignment="1" applyProtection="1">
      <alignment horizontal="right" vertical="center"/>
      <protection hidden="1"/>
    </xf>
    <xf numFmtId="0" fontId="2" fillId="0" borderId="16" xfId="0" applyFont="1" applyBorder="1" applyAlignment="1" applyProtection="1">
      <alignment horizontal="center" vertical="center" shrinkToFit="1"/>
      <protection hidden="1"/>
    </xf>
    <xf numFmtId="0" fontId="6" fillId="0" borderId="4" xfId="0" applyFont="1" applyFill="1" applyBorder="1" applyAlignment="1" applyProtection="1">
      <alignment horizontal="distributed" vertical="center"/>
      <protection hidden="1"/>
    </xf>
    <xf numFmtId="0" fontId="6" fillId="0" borderId="0" xfId="0" applyFont="1" applyFill="1" applyBorder="1" applyAlignment="1" applyProtection="1">
      <alignment horizontal="distributed" vertical="center"/>
      <protection hidden="1"/>
    </xf>
    <xf numFmtId="0" fontId="6" fillId="0" borderId="6" xfId="0" applyFont="1" applyFill="1" applyBorder="1" applyAlignment="1" applyProtection="1">
      <alignment horizontal="distributed" vertical="top"/>
      <protection hidden="1"/>
    </xf>
    <xf numFmtId="0" fontId="6" fillId="0" borderId="7" xfId="0" applyFont="1" applyFill="1" applyBorder="1" applyAlignment="1" applyProtection="1">
      <alignment horizontal="distributed" vertical="top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22" xfId="0" applyNumberFormat="1" applyFont="1" applyFill="1" applyBorder="1" applyAlignment="1" applyProtection="1">
      <alignment vertical="center"/>
    </xf>
    <xf numFmtId="0" fontId="6" fillId="0" borderId="23" xfId="0" applyFont="1" applyFill="1" applyBorder="1" applyAlignment="1" applyProtection="1">
      <alignment vertical="center"/>
    </xf>
    <xf numFmtId="49" fontId="2" fillId="4" borderId="59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40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60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4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0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61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78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7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79" xfId="0" applyNumberFormat="1" applyFont="1" applyFill="1" applyBorder="1" applyAlignment="1" applyProtection="1">
      <alignment horizontal="left" vertical="top" shrinkToFit="1"/>
      <protection locked="0"/>
    </xf>
    <xf numFmtId="179" fontId="17" fillId="0" borderId="34" xfId="0" applyNumberFormat="1" applyFont="1" applyFill="1" applyBorder="1" applyAlignment="1" applyProtection="1">
      <alignment horizontal="center" vertical="center" wrapText="1"/>
      <protection hidden="1"/>
    </xf>
    <xf numFmtId="179" fontId="17" fillId="0" borderId="16" xfId="0" applyNumberFormat="1" applyFont="1" applyFill="1" applyBorder="1" applyAlignment="1" applyProtection="1">
      <alignment horizontal="center" vertical="center"/>
      <protection hidden="1"/>
    </xf>
    <xf numFmtId="0" fontId="17" fillId="0" borderId="52" xfId="0" applyFont="1" applyFill="1" applyBorder="1" applyAlignment="1" applyProtection="1">
      <alignment horizontal="center" vertical="center"/>
      <protection hidden="1"/>
    </xf>
    <xf numFmtId="0" fontId="17" fillId="0" borderId="26" xfId="0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vertical="center"/>
    </xf>
    <xf numFmtId="0" fontId="2" fillId="0" borderId="48" xfId="0" applyFont="1" applyFill="1" applyBorder="1" applyAlignment="1" applyProtection="1">
      <alignment vertical="center"/>
    </xf>
    <xf numFmtId="0" fontId="2" fillId="0" borderId="42" xfId="0" applyFont="1" applyFill="1" applyBorder="1" applyAlignment="1" applyProtection="1">
      <alignment horizontal="center" vertical="center"/>
      <protection hidden="1"/>
    </xf>
    <xf numFmtId="0" fontId="2" fillId="0" borderId="43" xfId="0" applyFont="1" applyFill="1" applyBorder="1" applyAlignment="1" applyProtection="1">
      <alignment vertical="center"/>
    </xf>
    <xf numFmtId="0" fontId="2" fillId="0" borderId="53" xfId="0" applyFont="1" applyFill="1" applyBorder="1" applyAlignment="1" applyProtection="1">
      <alignment horizontal="center" vertical="center"/>
      <protection hidden="1"/>
    </xf>
    <xf numFmtId="0" fontId="2" fillId="0" borderId="50" xfId="0" applyFont="1" applyFill="1" applyBorder="1" applyAlignment="1" applyProtection="1">
      <alignment vertical="center"/>
    </xf>
    <xf numFmtId="0" fontId="2" fillId="5" borderId="37" xfId="0" applyFont="1" applyFill="1" applyBorder="1" applyAlignment="1" applyProtection="1">
      <alignment horizontal="center" vertical="center" shrinkToFit="1"/>
      <protection locked="0"/>
    </xf>
    <xf numFmtId="0" fontId="2" fillId="5" borderId="3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190" fontId="2" fillId="4" borderId="49" xfId="0" applyNumberFormat="1" applyFont="1" applyFill="1" applyBorder="1" applyAlignment="1" applyProtection="1">
      <alignment horizontal="right" vertical="center"/>
      <protection locked="0"/>
    </xf>
    <xf numFmtId="190" fontId="2" fillId="4" borderId="57" xfId="0" applyNumberFormat="1" applyFont="1" applyFill="1" applyBorder="1" applyAlignment="1" applyProtection="1">
      <alignment horizontal="right" vertical="center"/>
      <protection locked="0"/>
    </xf>
    <xf numFmtId="179" fontId="2" fillId="0" borderId="33" xfId="0" applyNumberFormat="1" applyFont="1" applyFill="1" applyBorder="1" applyAlignment="1" applyProtection="1">
      <alignment horizontal="center" vertical="center"/>
      <protection hidden="1"/>
    </xf>
    <xf numFmtId="179" fontId="2" fillId="0" borderId="25" xfId="0" applyNumberFormat="1" applyFont="1" applyFill="1" applyBorder="1" applyAlignment="1" applyProtection="1">
      <alignment horizontal="center" vertical="center"/>
      <protection hidden="1"/>
    </xf>
    <xf numFmtId="0" fontId="2" fillId="0" borderId="59" xfId="0" applyFont="1" applyFill="1" applyBorder="1" applyAlignment="1" applyProtection="1">
      <alignment horizontal="center" vertical="center"/>
      <protection hidden="1"/>
    </xf>
    <xf numFmtId="0" fontId="2" fillId="0" borderId="86" xfId="0" applyFont="1" applyFill="1" applyBorder="1" applyAlignment="1" applyProtection="1">
      <alignment horizontal="center" vertical="center"/>
      <protection hidden="1"/>
    </xf>
    <xf numFmtId="0" fontId="2" fillId="0" borderId="96" xfId="0" applyFont="1" applyFill="1" applyBorder="1" applyAlignment="1" applyProtection="1">
      <alignment horizontal="center" vertical="center"/>
      <protection hidden="1"/>
    </xf>
    <xf numFmtId="0" fontId="2" fillId="0" borderId="87" xfId="0" applyFont="1" applyFill="1" applyBorder="1" applyAlignment="1" applyProtection="1">
      <alignment horizontal="center" vertical="center"/>
      <protection hidden="1"/>
    </xf>
    <xf numFmtId="0" fontId="2" fillId="0" borderId="52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182" fontId="2" fillId="4" borderId="39" xfId="0" applyNumberFormat="1" applyFont="1" applyFill="1" applyBorder="1" applyAlignment="1" applyProtection="1">
      <alignment horizontal="center" vertical="center"/>
      <protection locked="0"/>
    </xf>
    <xf numFmtId="182" fontId="2" fillId="4" borderId="4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distributed" vertical="center"/>
      <protection hidden="1"/>
    </xf>
    <xf numFmtId="0" fontId="2" fillId="0" borderId="0" xfId="0" applyFont="1" applyFill="1" applyAlignment="1" applyProtection="1">
      <alignment horizontal="distributed" vertical="center"/>
      <protection hidden="1"/>
    </xf>
    <xf numFmtId="49" fontId="2" fillId="4" borderId="0" xfId="0" applyNumberFormat="1" applyFont="1" applyFill="1" applyAlignment="1" applyProtection="1">
      <alignment vertical="center"/>
      <protection locked="0"/>
    </xf>
    <xf numFmtId="0" fontId="2" fillId="4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 vertical="center"/>
      <protection hidden="1"/>
    </xf>
    <xf numFmtId="0" fontId="2" fillId="4" borderId="0" xfId="0" applyFont="1" applyFill="1" applyAlignment="1" applyProtection="1">
      <alignment vertical="center"/>
      <protection locked="0"/>
    </xf>
    <xf numFmtId="0" fontId="2" fillId="0" borderId="76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182" fontId="2" fillId="4" borderId="38" xfId="0" applyNumberFormat="1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vertical="center"/>
      <protection hidden="1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horizontal="center" vertical="center"/>
      <protection hidden="1"/>
    </xf>
    <xf numFmtId="0" fontId="2" fillId="0" borderId="34" xfId="0" applyFont="1" applyFill="1" applyBorder="1" applyAlignment="1" applyProtection="1">
      <alignment horizontal="center" vertical="center"/>
      <protection hidden="1"/>
    </xf>
    <xf numFmtId="0" fontId="2" fillId="0" borderId="35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182" fontId="2" fillId="4" borderId="37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4" borderId="39" xfId="0" applyFont="1" applyFill="1" applyBorder="1" applyAlignment="1" applyProtection="1">
      <alignment horizontal="center" vertical="center"/>
      <protection locked="0"/>
    </xf>
    <xf numFmtId="0" fontId="2" fillId="4" borderId="41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42" xfId="0" applyFont="1" applyFill="1" applyBorder="1" applyAlignment="1" applyProtection="1">
      <alignment horizontal="center" vertical="center"/>
    </xf>
    <xf numFmtId="0" fontId="2" fillId="0" borderId="43" xfId="0" applyFont="1" applyFill="1" applyBorder="1" applyAlignment="1" applyProtection="1">
      <alignment horizontal="center" vertical="center"/>
    </xf>
    <xf numFmtId="0" fontId="2" fillId="0" borderId="46" xfId="0" applyFont="1" applyFill="1" applyBorder="1" applyAlignment="1" applyProtection="1">
      <alignment horizontal="center" vertical="center"/>
      <protection hidden="1"/>
    </xf>
    <xf numFmtId="0" fontId="2" fillId="0" borderId="48" xfId="0" applyFont="1" applyFill="1" applyBorder="1" applyAlignment="1" applyProtection="1">
      <alignment horizontal="center" vertical="center"/>
      <protection hidden="1"/>
    </xf>
    <xf numFmtId="179" fontId="2" fillId="0" borderId="49" xfId="0" applyNumberFormat="1" applyFont="1" applyFill="1" applyBorder="1" applyAlignment="1" applyProtection="1">
      <alignment vertical="center"/>
      <protection hidden="1"/>
    </xf>
    <xf numFmtId="179" fontId="2" fillId="0" borderId="50" xfId="0" applyNumberFormat="1" applyFont="1" applyFill="1" applyBorder="1" applyAlignment="1" applyProtection="1">
      <alignment vertical="center"/>
      <protection hidden="1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179" fontId="2" fillId="0" borderId="39" xfId="0" applyNumberFormat="1" applyFont="1" applyFill="1" applyBorder="1" applyAlignment="1" applyProtection="1">
      <alignment vertical="center"/>
      <protection hidden="1"/>
    </xf>
    <xf numFmtId="179" fontId="2" fillId="0" borderId="38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 wrapText="1"/>
    </xf>
    <xf numFmtId="190" fontId="2" fillId="4" borderId="39" xfId="0" applyNumberFormat="1" applyFont="1" applyFill="1" applyBorder="1" applyAlignment="1" applyProtection="1">
      <alignment horizontal="right" vertical="center"/>
      <protection locked="0"/>
    </xf>
    <xf numFmtId="190" fontId="2" fillId="4" borderId="41" xfId="0" applyNumberFormat="1" applyFont="1" applyFill="1" applyBorder="1" applyAlignment="1" applyProtection="1">
      <alignment horizontal="right" vertical="center"/>
      <protection locked="0"/>
    </xf>
    <xf numFmtId="0" fontId="2" fillId="0" borderId="60" xfId="0" applyFont="1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2" fillId="0" borderId="61" xfId="0" applyFont="1" applyFill="1" applyBorder="1" applyAlignment="1" applyProtection="1">
      <alignment horizontal="center" vertical="center"/>
      <protection hidden="1"/>
    </xf>
    <xf numFmtId="49" fontId="2" fillId="4" borderId="53" xfId="0" applyNumberFormat="1" applyFont="1" applyFill="1" applyBorder="1" applyAlignment="1" applyProtection="1">
      <alignment horizontal="center" vertical="center"/>
      <protection locked="0"/>
    </xf>
    <xf numFmtId="49" fontId="2" fillId="4" borderId="57" xfId="0" applyNumberFormat="1" applyFont="1" applyFill="1" applyBorder="1" applyAlignment="1" applyProtection="1">
      <alignment horizontal="center" vertical="center"/>
      <protection locked="0"/>
    </xf>
    <xf numFmtId="0" fontId="2" fillId="0" borderId="88" xfId="0" applyFont="1" applyFill="1" applyBorder="1" applyAlignment="1" applyProtection="1">
      <alignment horizontal="center" vertical="center"/>
      <protection hidden="1"/>
    </xf>
    <xf numFmtId="201" fontId="2" fillId="0" borderId="49" xfId="0" quotePrefix="1" applyNumberFormat="1" applyFont="1" applyFill="1" applyBorder="1" applyAlignment="1" applyProtection="1">
      <alignment horizontal="right" vertical="center"/>
      <protection hidden="1"/>
    </xf>
    <xf numFmtId="201" fontId="2" fillId="0" borderId="57" xfId="0" quotePrefix="1" applyNumberFormat="1" applyFont="1" applyFill="1" applyBorder="1" applyAlignment="1" applyProtection="1">
      <alignment horizontal="right" vertical="center"/>
      <protection hidden="1"/>
    </xf>
    <xf numFmtId="0" fontId="12" fillId="3" borderId="92" xfId="0" applyFont="1" applyFill="1" applyBorder="1" applyAlignment="1" applyProtection="1">
      <alignment horizontal="center"/>
      <protection hidden="1"/>
    </xf>
    <xf numFmtId="0" fontId="12" fillId="3" borderId="94" xfId="0" applyFont="1" applyFill="1" applyBorder="1" applyAlignment="1" applyProtection="1">
      <alignment horizontal="center"/>
      <protection hidden="1"/>
    </xf>
    <xf numFmtId="0" fontId="17" fillId="0" borderId="42" xfId="0" applyFont="1" applyFill="1" applyBorder="1" applyAlignment="1" applyProtection="1">
      <alignment horizontal="center" vertical="center"/>
      <protection hidden="1"/>
    </xf>
    <xf numFmtId="0" fontId="17" fillId="0" borderId="43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  <protection hidden="1"/>
    </xf>
    <xf numFmtId="0" fontId="21" fillId="0" borderId="68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71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84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69" xfId="0" applyFont="1" applyBorder="1" applyAlignment="1" applyProtection="1">
      <alignment horizontal="center" vertical="center"/>
      <protection hidden="1"/>
    </xf>
    <xf numFmtId="0" fontId="12" fillId="0" borderId="72" xfId="0" applyFont="1" applyBorder="1" applyAlignment="1" applyProtection="1">
      <alignment horizontal="center" vertical="center"/>
      <protection hidden="1"/>
    </xf>
    <xf numFmtId="182" fontId="12" fillId="8" borderId="69" xfId="0" applyNumberFormat="1" applyFont="1" applyFill="1" applyBorder="1" applyAlignment="1" applyProtection="1">
      <alignment vertical="center"/>
      <protection hidden="1"/>
    </xf>
    <xf numFmtId="182" fontId="12" fillId="8" borderId="72" xfId="0" applyNumberFormat="1" applyFont="1" applyFill="1" applyBorder="1" applyAlignment="1" applyProtection="1">
      <alignment vertical="center"/>
      <protection hidden="1"/>
    </xf>
    <xf numFmtId="182" fontId="12" fillId="0" borderId="69" xfId="0" applyNumberFormat="1" applyFont="1" applyFill="1" applyBorder="1" applyAlignment="1" applyProtection="1">
      <alignment horizontal="right" vertical="center"/>
      <protection hidden="1"/>
    </xf>
    <xf numFmtId="182" fontId="12" fillId="0" borderId="72" xfId="0" applyNumberFormat="1" applyFont="1" applyFill="1" applyBorder="1" applyAlignment="1" applyProtection="1">
      <alignment horizontal="right" vertical="center"/>
      <protection hidden="1"/>
    </xf>
    <xf numFmtId="0" fontId="12" fillId="0" borderId="89" xfId="0" applyFont="1" applyBorder="1" applyAlignment="1" applyProtection="1">
      <alignment horizontal="center" vertical="center" wrapText="1"/>
      <protection hidden="1"/>
    </xf>
    <xf numFmtId="0" fontId="12" fillId="0" borderId="66" xfId="0" applyFont="1" applyBorder="1" applyAlignment="1" applyProtection="1">
      <alignment horizontal="center" vertical="center"/>
      <protection hidden="1"/>
    </xf>
    <xf numFmtId="0" fontId="21" fillId="6" borderId="68" xfId="0" applyNumberFormat="1" applyFont="1" applyFill="1" applyBorder="1" applyAlignment="1" applyProtection="1">
      <alignment horizontal="center" vertical="center" shrinkToFit="1"/>
      <protection hidden="1"/>
    </xf>
    <xf numFmtId="0" fontId="21" fillId="6" borderId="71" xfId="0" applyNumberFormat="1" applyFont="1" applyFill="1" applyBorder="1" applyAlignment="1" applyProtection="1">
      <alignment horizontal="center" vertical="center" shrinkToFit="1"/>
      <protection hidden="1"/>
    </xf>
    <xf numFmtId="0" fontId="21" fillId="6" borderId="84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64" xfId="0" applyFont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65" xfId="0" applyFont="1" applyBorder="1" applyAlignment="1" applyProtection="1">
      <alignment horizontal="center" vertical="center"/>
      <protection hidden="1"/>
    </xf>
    <xf numFmtId="0" fontId="2" fillId="0" borderId="65" xfId="0" applyFont="1" applyBorder="1" applyAlignment="1" applyProtection="1">
      <alignment horizontal="center" vertical="center"/>
    </xf>
    <xf numFmtId="0" fontId="23" fillId="0" borderId="33" xfId="0" applyFont="1" applyBorder="1" applyAlignment="1" applyProtection="1">
      <alignment horizontal="center" vertical="center"/>
      <protection hidden="1"/>
    </xf>
    <xf numFmtId="0" fontId="23" fillId="0" borderId="77" xfId="0" applyFont="1" applyBorder="1" applyAlignment="1" applyProtection="1">
      <alignment horizontal="center" vertical="center"/>
      <protection hidden="1"/>
    </xf>
    <xf numFmtId="41" fontId="23" fillId="0" borderId="33" xfId="0" applyNumberFormat="1" applyFont="1" applyBorder="1" applyAlignment="1" applyProtection="1">
      <alignment horizontal="center" vertical="center"/>
      <protection hidden="1"/>
    </xf>
    <xf numFmtId="41" fontId="23" fillId="0" borderId="77" xfId="0" applyNumberFormat="1" applyFont="1" applyBorder="1" applyAlignment="1" applyProtection="1">
      <alignment horizontal="center" vertical="center"/>
      <protection hidden="1"/>
    </xf>
    <xf numFmtId="0" fontId="23" fillId="0" borderId="52" xfId="0" applyFont="1" applyBorder="1" applyAlignment="1" applyProtection="1">
      <alignment horizontal="center" vertical="center" wrapText="1"/>
      <protection hidden="1"/>
    </xf>
    <xf numFmtId="0" fontId="23" fillId="0" borderId="63" xfId="0" applyFont="1" applyBorder="1" applyAlignment="1" applyProtection="1">
      <alignment horizontal="center" vertical="center"/>
      <protection hidden="1"/>
    </xf>
    <xf numFmtId="0" fontId="23" fillId="0" borderId="26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right" vertical="center"/>
      <protection hidden="1"/>
    </xf>
    <xf numFmtId="0" fontId="23" fillId="0" borderId="76" xfId="0" applyFont="1" applyBorder="1" applyAlignment="1" applyProtection="1">
      <alignment horizontal="center" vertical="center"/>
      <protection hidden="1"/>
    </xf>
    <xf numFmtId="0" fontId="23" fillId="0" borderId="71" xfId="0" applyFont="1" applyBorder="1" applyAlignment="1" applyProtection="1">
      <alignment horizontal="center" vertical="center"/>
      <protection hidden="1"/>
    </xf>
    <xf numFmtId="0" fontId="23" fillId="0" borderId="24" xfId="0" applyFont="1" applyBorder="1" applyAlignment="1" applyProtection="1">
      <alignment horizontal="center" vertical="center"/>
      <protection hidden="1"/>
    </xf>
    <xf numFmtId="0" fontId="23" fillId="0" borderId="25" xfId="0" applyFont="1" applyBorder="1" applyAlignment="1" applyProtection="1">
      <alignment horizontal="center" vertical="center"/>
      <protection hidden="1"/>
    </xf>
    <xf numFmtId="0" fontId="23" fillId="0" borderId="33" xfId="0" applyFont="1" applyBorder="1" applyAlignment="1" applyProtection="1">
      <alignment horizontal="center" vertical="center" wrapText="1"/>
      <protection hidden="1"/>
    </xf>
    <xf numFmtId="0" fontId="6" fillId="0" borderId="35" xfId="0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4" fillId="8" borderId="0" xfId="0" applyFont="1" applyFill="1" applyAlignment="1" applyProtection="1">
      <alignment horizontal="center" vertical="center"/>
      <protection hidden="1"/>
    </xf>
    <xf numFmtId="0" fontId="26" fillId="8" borderId="0" xfId="0" applyFont="1" applyFill="1" applyAlignment="1" applyProtection="1">
      <alignment horizontal="right" vertical="center"/>
      <protection hidden="1"/>
    </xf>
    <xf numFmtId="0" fontId="6" fillId="0" borderId="32" xfId="0" applyFont="1" applyBorder="1" applyAlignment="1" applyProtection="1">
      <alignment horizontal="center" vertical="center"/>
      <protection hidden="1"/>
    </xf>
    <xf numFmtId="0" fontId="6" fillId="0" borderId="27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0" fontId="6" fillId="0" borderId="34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83" xfId="0" applyFont="1" applyFill="1" applyBorder="1" applyAlignment="1" applyProtection="1">
      <alignment horizontal="center" vertical="center" textRotation="255"/>
      <protection hidden="1"/>
    </xf>
    <xf numFmtId="0" fontId="2" fillId="0" borderId="71" xfId="0" applyFont="1" applyFill="1" applyBorder="1" applyAlignment="1" applyProtection="1">
      <alignment horizontal="center" vertical="center" textRotation="255"/>
    </xf>
    <xf numFmtId="0" fontId="2" fillId="0" borderId="71" xfId="0" applyFont="1" applyFill="1" applyBorder="1" applyAlignment="1" applyProtection="1">
      <alignment vertical="center"/>
    </xf>
    <xf numFmtId="0" fontId="2" fillId="0" borderId="24" xfId="0" applyFont="1" applyFill="1" applyBorder="1" applyAlignment="1" applyProtection="1">
      <alignment vertical="center"/>
    </xf>
    <xf numFmtId="0" fontId="2" fillId="4" borderId="37" xfId="0" applyFont="1" applyFill="1" applyBorder="1" applyAlignment="1" applyProtection="1">
      <alignment vertical="center" shrinkToFit="1"/>
      <protection locked="0"/>
    </xf>
    <xf numFmtId="0" fontId="2" fillId="4" borderId="47" xfId="0" applyFont="1" applyFill="1" applyBorder="1" applyAlignment="1" applyProtection="1">
      <alignment vertical="center" shrinkToFit="1"/>
      <protection locked="0"/>
    </xf>
    <xf numFmtId="0" fontId="2" fillId="4" borderId="41" xfId="0" applyFont="1" applyFill="1" applyBorder="1" applyAlignment="1" applyProtection="1">
      <alignment vertical="center" shrinkToFit="1"/>
      <protection locked="0"/>
    </xf>
    <xf numFmtId="0" fontId="2" fillId="4" borderId="53" xfId="0" applyFont="1" applyFill="1" applyBorder="1" applyAlignment="1" applyProtection="1">
      <alignment vertical="center" shrinkToFit="1"/>
      <protection locked="0"/>
    </xf>
    <xf numFmtId="0" fontId="2" fillId="4" borderId="56" xfId="0" applyFont="1" applyFill="1" applyBorder="1" applyAlignment="1" applyProtection="1">
      <alignment vertical="center" shrinkToFit="1"/>
      <protection locked="0"/>
    </xf>
    <xf numFmtId="0" fontId="2" fillId="4" borderId="57" xfId="0" applyFont="1" applyFill="1" applyBorder="1" applyAlignment="1" applyProtection="1">
      <alignment vertical="center" shrinkToFit="1"/>
      <protection locked="0"/>
    </xf>
    <xf numFmtId="0" fontId="26" fillId="0" borderId="53" xfId="0" applyFont="1" applyFill="1" applyBorder="1" applyAlignment="1" applyProtection="1">
      <alignment vertical="center" shrinkToFit="1"/>
      <protection hidden="1"/>
    </xf>
    <xf numFmtId="0" fontId="26" fillId="0" borderId="56" xfId="0" applyFont="1" applyFill="1" applyBorder="1" applyAlignment="1" applyProtection="1">
      <alignment vertical="center" shrinkToFit="1"/>
      <protection hidden="1"/>
    </xf>
    <xf numFmtId="0" fontId="26" fillId="0" borderId="57" xfId="0" applyFont="1" applyFill="1" applyBorder="1" applyAlignment="1" applyProtection="1">
      <alignment vertical="center" shrinkToFit="1"/>
      <protection hidden="1"/>
    </xf>
    <xf numFmtId="0" fontId="2" fillId="0" borderId="71" xfId="0" applyFont="1" applyFill="1" applyBorder="1" applyAlignment="1" applyProtection="1">
      <alignment horizontal="center" vertical="center" textRotation="255"/>
      <protection hidden="1"/>
    </xf>
    <xf numFmtId="0" fontId="2" fillId="0" borderId="24" xfId="0" applyFont="1" applyFill="1" applyBorder="1" applyAlignment="1" applyProtection="1">
      <alignment horizontal="center" vertical="center" textRotation="255"/>
      <protection hidden="1"/>
    </xf>
    <xf numFmtId="0" fontId="2" fillId="0" borderId="90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91" xfId="0" applyFont="1" applyBorder="1" applyAlignment="1" applyProtection="1">
      <alignment horizontal="center" vertical="center"/>
      <protection hidden="1"/>
    </xf>
    <xf numFmtId="0" fontId="2" fillId="0" borderId="97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98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87" xfId="0" applyFont="1" applyBorder="1" applyAlignment="1" applyProtection="1">
      <alignment horizontal="center" vertical="center"/>
      <protection hidden="1"/>
    </xf>
    <xf numFmtId="206" fontId="2" fillId="0" borderId="49" xfId="0" applyNumberFormat="1" applyFont="1" applyFill="1" applyBorder="1" applyAlignment="1" applyProtection="1">
      <alignment horizontal="left" vertical="center" shrinkToFit="1"/>
      <protection hidden="1"/>
    </xf>
    <xf numFmtId="206" fontId="2" fillId="0" borderId="56" xfId="0" applyNumberFormat="1" applyFont="1" applyFill="1" applyBorder="1" applyAlignment="1" applyProtection="1">
      <alignment horizontal="left" vertical="center" shrinkToFit="1"/>
      <protection hidden="1"/>
    </xf>
    <xf numFmtId="206" fontId="2" fillId="0" borderId="57" xfId="0" applyNumberFormat="1" applyFont="1" applyFill="1" applyBorder="1" applyAlignment="1" applyProtection="1">
      <alignment horizontal="left" vertical="center" shrinkToFit="1"/>
      <protection hidden="1"/>
    </xf>
    <xf numFmtId="0" fontId="2" fillId="0" borderId="16" xfId="0" applyFont="1" applyBorder="1" applyAlignment="1" applyProtection="1">
      <alignment horizontal="left" vertical="center"/>
      <protection hidden="1"/>
    </xf>
    <xf numFmtId="0" fontId="2" fillId="0" borderId="28" xfId="0" applyFont="1" applyBorder="1" applyAlignment="1" applyProtection="1">
      <alignment horizontal="left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49" xfId="0" applyFont="1" applyFill="1" applyBorder="1" applyAlignment="1" applyProtection="1">
      <alignment horizontal="left" vertical="center"/>
      <protection hidden="1"/>
    </xf>
    <xf numFmtId="0" fontId="2" fillId="0" borderId="56" xfId="0" applyFont="1" applyFill="1" applyBorder="1" applyAlignment="1" applyProtection="1">
      <alignment horizontal="left" vertical="center"/>
      <protection hidden="1"/>
    </xf>
    <xf numFmtId="0" fontId="2" fillId="0" borderId="57" xfId="0" applyFont="1" applyFill="1" applyBorder="1" applyAlignment="1" applyProtection="1">
      <alignment horizontal="left" vertical="center"/>
      <protection hidden="1"/>
    </xf>
    <xf numFmtId="193" fontId="2" fillId="0" borderId="49" xfId="0" applyNumberFormat="1" applyFont="1" applyFill="1" applyBorder="1" applyAlignment="1" applyProtection="1">
      <alignment horizontal="left" vertical="center" shrinkToFit="1"/>
      <protection hidden="1"/>
    </xf>
    <xf numFmtId="193" fontId="2" fillId="0" borderId="50" xfId="0" applyNumberFormat="1" applyFont="1" applyFill="1" applyBorder="1" applyAlignment="1" applyProtection="1">
      <alignment horizontal="left" vertical="center" shrinkToFit="1"/>
      <protection hidden="1"/>
    </xf>
    <xf numFmtId="194" fontId="2" fillId="0" borderId="49" xfId="0" applyNumberFormat="1" applyFont="1" applyFill="1" applyBorder="1" applyAlignment="1" applyProtection="1">
      <alignment horizontal="left" vertical="center" shrinkToFit="1"/>
      <protection hidden="1"/>
    </xf>
    <xf numFmtId="194" fontId="2" fillId="0" borderId="57" xfId="0" applyNumberFormat="1" applyFont="1" applyFill="1" applyBorder="1" applyAlignment="1" applyProtection="1">
      <alignment horizontal="left" vertical="center" shrinkToFit="1"/>
      <protection hidden="1"/>
    </xf>
    <xf numFmtId="0" fontId="27" fillId="0" borderId="59" xfId="0" applyFont="1" applyBorder="1" applyAlignment="1" applyProtection="1">
      <alignment horizontal="center" vertical="center"/>
      <protection hidden="1"/>
    </xf>
    <xf numFmtId="0" fontId="27" fillId="0" borderId="40" xfId="0" applyFont="1" applyBorder="1" applyAlignment="1" applyProtection="1">
      <alignment horizontal="center" vertical="center"/>
      <protection hidden="1"/>
    </xf>
    <xf numFmtId="0" fontId="27" fillId="0" borderId="60" xfId="0" applyFont="1" applyBorder="1" applyAlignment="1" applyProtection="1">
      <alignment horizontal="center" vertical="center"/>
      <protection hidden="1"/>
    </xf>
    <xf numFmtId="0" fontId="26" fillId="0" borderId="78" xfId="0" applyFont="1" applyBorder="1" applyAlignment="1" applyProtection="1">
      <alignment horizontal="center" vertical="top"/>
      <protection hidden="1"/>
    </xf>
    <xf numFmtId="0" fontId="26" fillId="0" borderId="7" xfId="0" applyFont="1" applyBorder="1" applyAlignment="1" applyProtection="1">
      <alignment horizontal="center" vertical="top"/>
      <protection hidden="1"/>
    </xf>
    <xf numFmtId="0" fontId="2" fillId="0" borderId="7" xfId="0" applyFont="1" applyBorder="1" applyAlignment="1" applyProtection="1">
      <alignment horizontal="left" vertical="top"/>
      <protection hidden="1"/>
    </xf>
    <xf numFmtId="0" fontId="2" fillId="0" borderId="79" xfId="0" applyFont="1" applyBorder="1" applyAlignment="1" applyProtection="1">
      <alignment horizontal="left" vertical="top"/>
      <protection hidden="1"/>
    </xf>
    <xf numFmtId="0" fontId="2" fillId="0" borderId="76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71" xfId="0" applyFont="1" applyBorder="1" applyAlignment="1" applyProtection="1">
      <alignment horizontal="center" vertical="center"/>
      <protection hidden="1"/>
    </xf>
    <xf numFmtId="0" fontId="2" fillId="0" borderId="77" xfId="0" applyFont="1" applyBorder="1" applyAlignment="1" applyProtection="1">
      <alignment horizontal="center" vertical="center"/>
      <protection hidden="1"/>
    </xf>
    <xf numFmtId="0" fontId="2" fillId="0" borderId="77" xfId="0" applyFont="1" applyBorder="1" applyAlignment="1" applyProtection="1">
      <alignment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 shrinkToFit="1"/>
      <protection hidden="1"/>
    </xf>
    <xf numFmtId="0" fontId="2" fillId="0" borderId="16" xfId="0" applyFont="1" applyBorder="1" applyAlignment="1" applyProtection="1">
      <alignment horizontal="center" vertical="center" shrinkToFit="1"/>
      <protection hidden="1"/>
    </xf>
    <xf numFmtId="0" fontId="2" fillId="0" borderId="27" xfId="0" applyFont="1" applyFill="1" applyBorder="1" applyAlignment="1" applyProtection="1">
      <alignment horizontal="center" vertical="center" shrinkToFit="1"/>
      <protection hidden="1"/>
    </xf>
    <xf numFmtId="0" fontId="2" fillId="0" borderId="16" xfId="0" applyFont="1" applyFill="1" applyBorder="1" applyAlignment="1" applyProtection="1">
      <alignment horizontal="center" vertical="center" shrinkToFit="1"/>
      <protection hidden="1"/>
    </xf>
    <xf numFmtId="0" fontId="8" fillId="0" borderId="82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 textRotation="255"/>
      <protection hidden="1"/>
    </xf>
    <xf numFmtId="0" fontId="17" fillId="0" borderId="49" xfId="1" applyNumberFormat="1" applyFont="1" applyBorder="1" applyAlignment="1" applyProtection="1">
      <alignment horizontal="left" vertical="center"/>
      <protection hidden="1"/>
    </xf>
    <xf numFmtId="0" fontId="17" fillId="0" borderId="56" xfId="1" applyNumberFormat="1" applyFont="1" applyBorder="1" applyAlignment="1" applyProtection="1">
      <alignment horizontal="left" vertical="center"/>
      <protection hidden="1"/>
    </xf>
    <xf numFmtId="0" fontId="17" fillId="0" borderId="57" xfId="1" applyNumberFormat="1" applyFont="1" applyBorder="1" applyAlignment="1" applyProtection="1">
      <alignment horizontal="left" vertical="center"/>
      <protection hidden="1"/>
    </xf>
    <xf numFmtId="0" fontId="2" fillId="0" borderId="90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left" vertical="center"/>
      <protection hidden="1"/>
    </xf>
    <xf numFmtId="0" fontId="2" fillId="0" borderId="56" xfId="0" applyFont="1" applyBorder="1" applyAlignment="1" applyProtection="1">
      <alignment horizontal="left" vertical="center"/>
      <protection hidden="1"/>
    </xf>
    <xf numFmtId="0" fontId="2" fillId="0" borderId="16" xfId="0" quotePrefix="1" applyFont="1" applyFill="1" applyBorder="1" applyAlignment="1" applyProtection="1">
      <alignment horizontal="center" vertical="center"/>
      <protection hidden="1"/>
    </xf>
    <xf numFmtId="192" fontId="2" fillId="0" borderId="49" xfId="0" applyNumberFormat="1" applyFont="1" applyFill="1" applyBorder="1" applyAlignment="1" applyProtection="1">
      <alignment horizontal="left" vertical="center" shrinkToFit="1"/>
      <protection hidden="1"/>
    </xf>
    <xf numFmtId="192" fontId="2" fillId="0" borderId="57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16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49" xfId="0" applyFont="1" applyFill="1" applyBorder="1" applyAlignment="1" applyProtection="1">
      <alignment horizontal="left" vertical="center"/>
      <protection hidden="1"/>
    </xf>
    <xf numFmtId="0" fontId="17" fillId="0" borderId="56" xfId="0" applyFont="1" applyFill="1" applyBorder="1" applyAlignment="1" applyProtection="1">
      <alignment horizontal="left" vertical="center"/>
      <protection hidden="1"/>
    </xf>
    <xf numFmtId="0" fontId="17" fillId="0" borderId="57" xfId="0" applyFont="1" applyFill="1" applyBorder="1" applyAlignment="1" applyProtection="1">
      <alignment horizontal="left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vertical="center"/>
      <protection locked="0"/>
    </xf>
    <xf numFmtId="0" fontId="2" fillId="4" borderId="28" xfId="0" applyFont="1" applyFill="1" applyBorder="1" applyAlignment="1" applyProtection="1">
      <alignment vertical="center"/>
      <protection locked="0"/>
    </xf>
    <xf numFmtId="0" fontId="2" fillId="4" borderId="16" xfId="0" applyFont="1" applyFill="1" applyBorder="1" applyAlignment="1" applyProtection="1">
      <alignment vertical="center" shrinkToFit="1"/>
      <protection locked="0"/>
    </xf>
    <xf numFmtId="0" fontId="2" fillId="4" borderId="28" xfId="0" applyFont="1" applyFill="1" applyBorder="1" applyAlignment="1" applyProtection="1">
      <alignment vertical="center" shrinkToFit="1"/>
      <protection locked="0"/>
    </xf>
    <xf numFmtId="0" fontId="2" fillId="0" borderId="16" xfId="0" applyFont="1" applyFill="1" applyBorder="1" applyAlignment="1" applyProtection="1">
      <alignment vertical="center" shrinkToFit="1"/>
      <protection hidden="1"/>
    </xf>
    <xf numFmtId="0" fontId="2" fillId="0" borderId="28" xfId="0" applyFont="1" applyFill="1" applyBorder="1" applyAlignment="1" applyProtection="1">
      <alignment vertical="center" shrinkToFit="1"/>
      <protection hidden="1"/>
    </xf>
    <xf numFmtId="179" fontId="6" fillId="0" borderId="56" xfId="0" applyNumberFormat="1" applyFont="1" applyFill="1" applyBorder="1" applyAlignment="1" applyProtection="1">
      <alignment vertical="center"/>
      <protection hidden="1"/>
    </xf>
    <xf numFmtId="0" fontId="2" fillId="0" borderId="49" xfId="0" applyFont="1" applyFill="1" applyBorder="1" applyAlignment="1" applyProtection="1">
      <alignment horizontal="center" vertical="center" shrinkToFit="1"/>
      <protection hidden="1"/>
    </xf>
    <xf numFmtId="0" fontId="2" fillId="0" borderId="56" xfId="0" applyFont="1" applyFill="1" applyBorder="1" applyAlignment="1" applyProtection="1">
      <alignment horizontal="center" vertical="center" shrinkToFit="1"/>
      <protection hidden="1"/>
    </xf>
    <xf numFmtId="0" fontId="2" fillId="0" borderId="57" xfId="0" applyFont="1" applyFill="1" applyBorder="1" applyAlignment="1" applyProtection="1">
      <alignment horizontal="center" vertical="center" shrinkToFit="1"/>
      <protection hidden="1"/>
    </xf>
    <xf numFmtId="0" fontId="28" fillId="0" borderId="56" xfId="0" applyFont="1" applyFill="1" applyBorder="1" applyAlignment="1" applyProtection="1">
      <alignment vertical="center"/>
      <protection hidden="1"/>
    </xf>
    <xf numFmtId="0" fontId="28" fillId="0" borderId="57" xfId="0" applyFont="1" applyFill="1" applyBorder="1" applyAlignment="1" applyProtection="1">
      <alignment vertical="center"/>
      <protection hidden="1"/>
    </xf>
    <xf numFmtId="0" fontId="2" fillId="0" borderId="49" xfId="0" applyFont="1" applyFill="1" applyBorder="1" applyAlignment="1" applyProtection="1">
      <alignment horizontal="center" vertical="center"/>
      <protection hidden="1"/>
    </xf>
    <xf numFmtId="0" fontId="2" fillId="0" borderId="56" xfId="0" applyFont="1" applyFill="1" applyBorder="1" applyAlignment="1" applyProtection="1">
      <alignment horizontal="center" vertical="center"/>
      <protection hidden="1"/>
    </xf>
    <xf numFmtId="0" fontId="2" fillId="0" borderId="57" xfId="0" applyFont="1" applyFill="1" applyBorder="1" applyAlignment="1" applyProtection="1">
      <alignment horizontal="center" vertical="center"/>
      <protection hidden="1"/>
    </xf>
    <xf numFmtId="198" fontId="2" fillId="0" borderId="56" xfId="0" applyNumberFormat="1" applyFont="1" applyFill="1" applyBorder="1" applyAlignment="1" applyProtection="1">
      <alignment vertical="center"/>
      <protection hidden="1"/>
    </xf>
    <xf numFmtId="0" fontId="2" fillId="0" borderId="56" xfId="0" applyFont="1" applyFill="1" applyBorder="1" applyAlignment="1" applyProtection="1">
      <alignment vertical="center"/>
      <protection hidden="1"/>
    </xf>
    <xf numFmtId="0" fontId="2" fillId="0" borderId="57" xfId="0" applyFont="1" applyFill="1" applyBorder="1" applyAlignment="1" applyProtection="1">
      <alignment vertical="center"/>
      <protection hidden="1"/>
    </xf>
    <xf numFmtId="0" fontId="6" fillId="6" borderId="56" xfId="0" applyFont="1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vertical="center"/>
      <protection hidden="1"/>
    </xf>
    <xf numFmtId="179" fontId="2" fillId="0" borderId="16" xfId="0" applyNumberFormat="1" applyFont="1" applyFill="1" applyBorder="1" applyAlignment="1" applyProtection="1">
      <alignment horizontal="center" vertical="center"/>
      <protection hidden="1"/>
    </xf>
    <xf numFmtId="196" fontId="2" fillId="0" borderId="16" xfId="0" applyNumberFormat="1" applyFont="1" applyFill="1" applyBorder="1" applyAlignment="1" applyProtection="1">
      <alignment horizontal="right" vertical="center"/>
      <protection hidden="1"/>
    </xf>
    <xf numFmtId="0" fontId="2" fillId="0" borderId="16" xfId="0" applyFont="1" applyFill="1" applyBorder="1" applyAlignment="1" applyProtection="1">
      <alignment horizontal="left" vertical="center"/>
      <protection hidden="1"/>
    </xf>
    <xf numFmtId="0" fontId="2" fillId="0" borderId="28" xfId="0" applyFont="1" applyFill="1" applyBorder="1" applyAlignment="1" applyProtection="1">
      <alignment horizontal="left" vertical="center"/>
      <protection hidden="1"/>
    </xf>
    <xf numFmtId="179" fontId="2" fillId="0" borderId="16" xfId="0" applyNumberFormat="1" applyFont="1" applyFill="1" applyBorder="1" applyAlignment="1" applyProtection="1">
      <alignment vertical="center"/>
      <protection hidden="1"/>
    </xf>
    <xf numFmtId="197" fontId="2" fillId="0" borderId="49" xfId="0" quotePrefix="1" applyNumberFormat="1" applyFont="1" applyFill="1" applyBorder="1" applyAlignment="1" applyProtection="1">
      <alignment horizontal="center" vertical="center"/>
      <protection hidden="1"/>
    </xf>
    <xf numFmtId="197" fontId="2" fillId="0" borderId="50" xfId="0" applyNumberFormat="1" applyFont="1" applyFill="1" applyBorder="1" applyAlignment="1" applyProtection="1">
      <alignment horizontal="center" vertical="center"/>
      <protection hidden="1"/>
    </xf>
    <xf numFmtId="195" fontId="2" fillId="0" borderId="16" xfId="0" applyNumberFormat="1" applyFont="1" applyFill="1" applyBorder="1" applyAlignment="1" applyProtection="1">
      <alignment horizontal="right" vertical="center"/>
      <protection hidden="1"/>
    </xf>
    <xf numFmtId="0" fontId="2" fillId="0" borderId="16" xfId="0" applyNumberFormat="1" applyFont="1" applyFill="1" applyBorder="1" applyAlignment="1" applyProtection="1">
      <alignment horizontal="left" vertical="center"/>
      <protection hidden="1"/>
    </xf>
    <xf numFmtId="0" fontId="2" fillId="0" borderId="28" xfId="0" applyNumberFormat="1" applyFont="1" applyFill="1" applyBorder="1" applyAlignment="1" applyProtection="1">
      <alignment horizontal="left" vertical="center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9" fillId="0" borderId="76" xfId="0" applyFont="1" applyBorder="1" applyAlignment="1" applyProtection="1">
      <alignment horizontal="center" vertical="center"/>
      <protection hidden="1"/>
    </xf>
    <xf numFmtId="0" fontId="29" fillId="0" borderId="80" xfId="0" applyFont="1" applyBorder="1" applyAlignment="1" applyProtection="1">
      <alignment horizontal="center" vertical="center"/>
      <protection hidden="1"/>
    </xf>
    <xf numFmtId="0" fontId="29" fillId="0" borderId="33" xfId="0" applyFont="1" applyBorder="1" applyAlignment="1" applyProtection="1">
      <alignment horizontal="center" vertical="center"/>
      <protection hidden="1"/>
    </xf>
    <xf numFmtId="0" fontId="29" fillId="0" borderId="81" xfId="0" applyFont="1" applyBorder="1" applyAlignment="1" applyProtection="1">
      <alignment horizontal="center" vertical="center"/>
      <protection hidden="1"/>
    </xf>
    <xf numFmtId="0" fontId="2" fillId="0" borderId="81" xfId="0" applyFont="1" applyBorder="1" applyAlignment="1" applyProtection="1">
      <alignment horizontal="center" vertical="center"/>
      <protection hidden="1"/>
    </xf>
    <xf numFmtId="0" fontId="29" fillId="0" borderId="35" xfId="0" applyFont="1" applyBorder="1" applyAlignment="1" applyProtection="1">
      <alignment horizontal="center" vertical="center"/>
      <protection hidden="1"/>
    </xf>
    <xf numFmtId="0" fontId="29" fillId="0" borderId="31" xfId="0" applyFont="1" applyBorder="1" applyAlignment="1" applyProtection="1">
      <alignment horizontal="center" vertical="center"/>
      <protection hidden="1"/>
    </xf>
    <xf numFmtId="0" fontId="29" fillId="0" borderId="7" xfId="0" applyFont="1" applyBorder="1" applyAlignment="1" applyProtection="1">
      <alignment horizontal="left" vertical="center"/>
      <protection hidden="1"/>
    </xf>
    <xf numFmtId="0" fontId="29" fillId="0" borderId="79" xfId="0" applyFont="1" applyBorder="1" applyAlignment="1" applyProtection="1">
      <alignment horizontal="left" vertical="center"/>
      <protection hidden="1"/>
    </xf>
    <xf numFmtId="0" fontId="26" fillId="0" borderId="76" xfId="0" applyFont="1" applyBorder="1" applyAlignment="1" applyProtection="1">
      <alignment horizontal="center" vertical="center"/>
      <protection hidden="1"/>
    </xf>
    <xf numFmtId="0" fontId="26" fillId="0" borderId="71" xfId="0" applyFont="1" applyBorder="1" applyAlignment="1" applyProtection="1">
      <alignment horizontal="center" vertical="center"/>
      <protection hidden="1"/>
    </xf>
    <xf numFmtId="0" fontId="26" fillId="0" borderId="24" xfId="0" applyFont="1" applyBorder="1" applyAlignment="1" applyProtection="1">
      <alignment horizontal="center" vertical="center"/>
      <protection hidden="1"/>
    </xf>
    <xf numFmtId="0" fontId="26" fillId="0" borderId="42" xfId="0" applyFont="1" applyBorder="1" applyAlignment="1" applyProtection="1">
      <alignment horizontal="center" vertical="center"/>
      <protection hidden="1"/>
    </xf>
    <xf numFmtId="0" fontId="26" fillId="0" borderId="46" xfId="0" applyFont="1" applyBorder="1" applyAlignment="1" applyProtection="1">
      <alignment horizontal="center" vertical="center"/>
      <protection hidden="1"/>
    </xf>
    <xf numFmtId="0" fontId="26" fillId="0" borderId="48" xfId="0" applyFont="1" applyBorder="1" applyAlignment="1" applyProtection="1">
      <alignment horizontal="center" vertical="center"/>
      <protection hidden="1"/>
    </xf>
    <xf numFmtId="0" fontId="26" fillId="0" borderId="52" xfId="0" applyFont="1" applyBorder="1" applyAlignment="1" applyProtection="1">
      <alignment horizontal="center" vertical="center"/>
      <protection hidden="1"/>
    </xf>
    <xf numFmtId="0" fontId="26" fillId="0" borderId="63" xfId="0" applyFont="1" applyBorder="1" applyAlignment="1" applyProtection="1">
      <alignment horizontal="center" vertical="center"/>
      <protection hidden="1"/>
    </xf>
    <xf numFmtId="0" fontId="26" fillId="0" borderId="26" xfId="0" applyFont="1" applyBorder="1" applyAlignment="1" applyProtection="1">
      <alignment horizontal="center" vertical="center"/>
      <protection hidden="1"/>
    </xf>
    <xf numFmtId="0" fontId="26" fillId="0" borderId="62" xfId="0" applyFont="1" applyBorder="1" applyAlignment="1" applyProtection="1">
      <alignment horizontal="center" vertical="center"/>
      <protection hidden="1"/>
    </xf>
    <xf numFmtId="0" fontId="26" fillId="0" borderId="25" xfId="0" applyFont="1" applyBorder="1" applyAlignment="1" applyProtection="1">
      <alignment horizontal="center" vertical="center"/>
      <protection hidden="1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1:I34"/>
  <sheetViews>
    <sheetView tabSelected="1" zoomScale="85" zoomScaleNormal="85" workbookViewId="0">
      <selection activeCell="Q7" sqref="Q7"/>
    </sheetView>
  </sheetViews>
  <sheetFormatPr defaultRowHeight="16.5" x14ac:dyDescent="0.3"/>
  <cols>
    <col min="1" max="1" width="1.25" customWidth="1"/>
    <col min="2" max="2" width="18" customWidth="1"/>
    <col min="3" max="3" width="13.25" customWidth="1"/>
    <col min="4" max="4" width="12" customWidth="1"/>
    <col min="5" max="6" width="11.5" customWidth="1"/>
    <col min="7" max="7" width="9.5" customWidth="1"/>
    <col min="8" max="8" width="11.75" customWidth="1"/>
    <col min="9" max="9" width="1.125" customWidth="1"/>
  </cols>
  <sheetData>
    <row r="1" spans="1:9" ht="29.25" customHeight="1" x14ac:dyDescent="0.15">
      <c r="A1" s="1"/>
      <c r="B1" s="517" t="s">
        <v>251</v>
      </c>
      <c r="C1" s="518"/>
      <c r="D1" s="518"/>
      <c r="E1" s="518"/>
      <c r="F1" s="518"/>
      <c r="G1" s="518"/>
      <c r="H1" s="519"/>
      <c r="I1" s="1"/>
    </row>
    <row r="2" spans="1:9" ht="4.5" customHeight="1" x14ac:dyDescent="0.15">
      <c r="A2" s="1"/>
      <c r="B2" s="2"/>
      <c r="C2" s="3"/>
      <c r="D2" s="4"/>
      <c r="E2" s="4"/>
      <c r="F2" s="4"/>
      <c r="G2" s="4"/>
      <c r="H2" s="5"/>
      <c r="I2" s="1"/>
    </row>
    <row r="3" spans="1:9" ht="25.5" customHeight="1" x14ac:dyDescent="0.15">
      <c r="A3" s="1"/>
      <c r="B3" s="513" t="s">
        <v>252</v>
      </c>
      <c r="C3" s="514"/>
      <c r="D3" s="520" t="s">
        <v>411</v>
      </c>
      <c r="E3" s="520"/>
      <c r="F3" s="520"/>
      <c r="G3" s="520"/>
      <c r="H3" s="521"/>
      <c r="I3" s="1"/>
    </row>
    <row r="4" spans="1:9" ht="4.5" customHeight="1" x14ac:dyDescent="0.15">
      <c r="A4" s="1"/>
      <c r="B4" s="46"/>
      <c r="C4" s="47"/>
      <c r="D4" s="108"/>
      <c r="E4" s="108"/>
      <c r="F4" s="108"/>
      <c r="G4" s="108"/>
      <c r="H4" s="377"/>
      <c r="I4" s="1"/>
    </row>
    <row r="5" spans="1:9" ht="24.75" customHeight="1" x14ac:dyDescent="0.15">
      <c r="A5" s="1"/>
      <c r="B5" s="513" t="s">
        <v>253</v>
      </c>
      <c r="C5" s="514"/>
      <c r="D5" s="6" t="s">
        <v>412</v>
      </c>
      <c r="E5" s="7"/>
      <c r="F5" s="8"/>
      <c r="G5" s="9"/>
      <c r="H5" s="10"/>
      <c r="I5" s="1"/>
    </row>
    <row r="6" spans="1:9" ht="4.5" customHeight="1" x14ac:dyDescent="0.15">
      <c r="A6" s="1"/>
      <c r="B6" s="46"/>
      <c r="C6" s="47"/>
      <c r="D6" s="378"/>
      <c r="E6" s="7"/>
      <c r="F6" s="8"/>
      <c r="G6" s="9"/>
      <c r="H6" s="10"/>
      <c r="I6" s="1"/>
    </row>
    <row r="7" spans="1:9" ht="24.75" customHeight="1" x14ac:dyDescent="0.15">
      <c r="A7" s="1"/>
      <c r="B7" s="513" t="s">
        <v>254</v>
      </c>
      <c r="C7" s="514"/>
      <c r="D7" s="11">
        <v>24.8</v>
      </c>
      <c r="E7" s="7" t="s">
        <v>255</v>
      </c>
      <c r="F7" s="8"/>
      <c r="G7" s="9"/>
      <c r="H7" s="10"/>
      <c r="I7" s="1"/>
    </row>
    <row r="8" spans="1:9" ht="6" customHeight="1" x14ac:dyDescent="0.15">
      <c r="A8" s="1"/>
      <c r="B8" s="46"/>
      <c r="C8" s="47"/>
      <c r="D8" s="379"/>
      <c r="E8" s="7"/>
      <c r="F8" s="8"/>
      <c r="G8" s="9"/>
      <c r="H8" s="10"/>
      <c r="I8" s="1"/>
    </row>
    <row r="9" spans="1:9" ht="24.75" customHeight="1" x14ac:dyDescent="0.15">
      <c r="A9" s="1"/>
      <c r="B9" s="513" t="s">
        <v>256</v>
      </c>
      <c r="C9" s="514"/>
      <c r="D9" s="12">
        <v>6</v>
      </c>
      <c r="E9" s="7" t="s">
        <v>257</v>
      </c>
      <c r="F9" s="8"/>
      <c r="G9" s="9"/>
      <c r="H9" s="10"/>
      <c r="I9" s="1"/>
    </row>
    <row r="10" spans="1:9" ht="4.5" customHeight="1" x14ac:dyDescent="0.15">
      <c r="A10" s="1"/>
      <c r="B10" s="46"/>
      <c r="C10" s="47"/>
      <c r="D10" s="380"/>
      <c r="E10" s="7"/>
      <c r="F10" s="8"/>
      <c r="G10" s="9"/>
      <c r="H10" s="10"/>
      <c r="I10" s="1"/>
    </row>
    <row r="11" spans="1:9" ht="24.75" customHeight="1" x14ac:dyDescent="0.15">
      <c r="A11" s="1"/>
      <c r="B11" s="515" t="s">
        <v>258</v>
      </c>
      <c r="C11" s="516"/>
      <c r="D11" s="13"/>
      <c r="E11" s="13"/>
      <c r="F11" s="13"/>
      <c r="G11" s="13"/>
      <c r="H11" s="14"/>
      <c r="I11" s="1"/>
    </row>
    <row r="12" spans="1:9" ht="42" customHeight="1" thickBot="1" x14ac:dyDescent="0.2">
      <c r="A12" s="1"/>
      <c r="B12" s="15" t="s">
        <v>259</v>
      </c>
      <c r="C12" s="16" t="s">
        <v>260</v>
      </c>
      <c r="D12" s="17" t="s">
        <v>261</v>
      </c>
      <c r="E12" s="18" t="s">
        <v>262</v>
      </c>
      <c r="F12" s="19" t="s">
        <v>263</v>
      </c>
      <c r="G12" s="19" t="s">
        <v>264</v>
      </c>
      <c r="H12" s="20" t="s">
        <v>265</v>
      </c>
      <c r="I12" s="1"/>
    </row>
    <row r="13" spans="1:9" ht="37.5" customHeight="1" thickTop="1" x14ac:dyDescent="0.15">
      <c r="A13" s="21"/>
      <c r="B13" s="22" t="s">
        <v>266</v>
      </c>
      <c r="C13" s="23"/>
      <c r="D13" s="24">
        <f>SUM(D14:D33)</f>
        <v>8529</v>
      </c>
      <c r="E13" s="25">
        <f>ROUNDDOWN(SUM(E14:E33),2)</f>
        <v>2969.53</v>
      </c>
      <c r="F13" s="26"/>
      <c r="G13" s="27"/>
      <c r="H13" s="28">
        <f>ROUNDDOWN(SUM(H14:H33),3)</f>
        <v>2311.4029999999998</v>
      </c>
      <c r="I13" s="21"/>
    </row>
    <row r="14" spans="1:9" ht="26.25" customHeight="1" x14ac:dyDescent="0.15">
      <c r="A14" s="1"/>
      <c r="B14" s="29" t="s">
        <v>413</v>
      </c>
      <c r="C14" s="30" t="s">
        <v>414</v>
      </c>
      <c r="D14" s="31">
        <v>327</v>
      </c>
      <c r="E14" s="32">
        <v>337.56</v>
      </c>
      <c r="F14" s="33" t="s">
        <v>415</v>
      </c>
      <c r="G14" s="34">
        <v>88</v>
      </c>
      <c r="H14" s="509">
        <f t="shared" ref="H14:H33" si="0">IF(ISNUMBER(G14),ROUNDDOWN((E14*G14/100),4),"")</f>
        <v>297.05279999999999</v>
      </c>
      <c r="I14" s="1"/>
    </row>
    <row r="15" spans="1:9" ht="26.25" customHeight="1" x14ac:dyDescent="0.15">
      <c r="A15" s="1"/>
      <c r="B15" s="29" t="s">
        <v>416</v>
      </c>
      <c r="C15" s="30" t="s">
        <v>414</v>
      </c>
      <c r="D15" s="31">
        <v>32</v>
      </c>
      <c r="E15" s="32">
        <v>32.950000000000003</v>
      </c>
      <c r="F15" s="33" t="s">
        <v>417</v>
      </c>
      <c r="G15" s="34">
        <v>88</v>
      </c>
      <c r="H15" s="510">
        <f t="shared" si="0"/>
        <v>28.995999999999999</v>
      </c>
      <c r="I15" s="1"/>
    </row>
    <row r="16" spans="1:9" ht="26.25" customHeight="1" x14ac:dyDescent="0.15">
      <c r="A16" s="1"/>
      <c r="B16" s="29" t="s">
        <v>418</v>
      </c>
      <c r="C16" s="30" t="s">
        <v>414</v>
      </c>
      <c r="D16" s="31">
        <v>121</v>
      </c>
      <c r="E16" s="32">
        <v>57.97</v>
      </c>
      <c r="F16" s="33" t="s">
        <v>415</v>
      </c>
      <c r="G16" s="34">
        <v>89.01</v>
      </c>
      <c r="H16" s="510">
        <f t="shared" si="0"/>
        <v>51.598999999999997</v>
      </c>
      <c r="I16" s="1"/>
    </row>
    <row r="17" spans="1:9" ht="26.25" customHeight="1" x14ac:dyDescent="0.15">
      <c r="A17" s="1"/>
      <c r="B17" s="29" t="s">
        <v>419</v>
      </c>
      <c r="C17" s="30" t="s">
        <v>414</v>
      </c>
      <c r="D17" s="31">
        <v>41</v>
      </c>
      <c r="E17" s="32">
        <v>19.66</v>
      </c>
      <c r="F17" s="33" t="s">
        <v>417</v>
      </c>
      <c r="G17" s="34">
        <v>89.01</v>
      </c>
      <c r="H17" s="510">
        <f t="shared" si="0"/>
        <v>17.499300000000002</v>
      </c>
      <c r="I17" s="1"/>
    </row>
    <row r="18" spans="1:9" ht="26.25" customHeight="1" x14ac:dyDescent="0.15">
      <c r="A18" s="1"/>
      <c r="B18" s="29" t="s">
        <v>420</v>
      </c>
      <c r="C18" s="30" t="s">
        <v>421</v>
      </c>
      <c r="D18" s="31">
        <v>8008</v>
      </c>
      <c r="E18" s="32">
        <v>2521.39</v>
      </c>
      <c r="F18" s="33" t="s">
        <v>417</v>
      </c>
      <c r="G18" s="34">
        <v>76</v>
      </c>
      <c r="H18" s="510">
        <f t="shared" si="0"/>
        <v>1916.2564</v>
      </c>
      <c r="I18" s="1"/>
    </row>
    <row r="19" spans="1:9" ht="26.25" customHeight="1" x14ac:dyDescent="0.15">
      <c r="A19" s="1"/>
      <c r="B19" s="29"/>
      <c r="C19" s="30"/>
      <c r="D19" s="31"/>
      <c r="E19" s="32"/>
      <c r="F19" s="33"/>
      <c r="G19" s="34"/>
      <c r="H19" s="510" t="str">
        <f t="shared" si="0"/>
        <v/>
      </c>
      <c r="I19" s="1"/>
    </row>
    <row r="20" spans="1:9" ht="26.25" customHeight="1" x14ac:dyDescent="0.15">
      <c r="A20" s="1"/>
      <c r="B20" s="29"/>
      <c r="C20" s="30"/>
      <c r="D20" s="31"/>
      <c r="E20" s="32"/>
      <c r="F20" s="33"/>
      <c r="G20" s="34"/>
      <c r="H20" s="510" t="str">
        <f t="shared" si="0"/>
        <v/>
      </c>
      <c r="I20" s="1"/>
    </row>
    <row r="21" spans="1:9" ht="26.25" customHeight="1" x14ac:dyDescent="0.15">
      <c r="A21" s="1"/>
      <c r="B21" s="29"/>
      <c r="C21" s="30"/>
      <c r="D21" s="31"/>
      <c r="E21" s="32"/>
      <c r="F21" s="33"/>
      <c r="G21" s="34"/>
      <c r="H21" s="510" t="str">
        <f t="shared" si="0"/>
        <v/>
      </c>
      <c r="I21" s="1"/>
    </row>
    <row r="22" spans="1:9" ht="26.25" customHeight="1" x14ac:dyDescent="0.15">
      <c r="A22" s="1"/>
      <c r="B22" s="29"/>
      <c r="C22" s="30"/>
      <c r="D22" s="31"/>
      <c r="E22" s="32"/>
      <c r="F22" s="33"/>
      <c r="G22" s="34"/>
      <c r="H22" s="510" t="str">
        <f t="shared" si="0"/>
        <v/>
      </c>
      <c r="I22" s="1"/>
    </row>
    <row r="23" spans="1:9" ht="26.25" customHeight="1" x14ac:dyDescent="0.15">
      <c r="A23" s="1"/>
      <c r="B23" s="29"/>
      <c r="C23" s="30"/>
      <c r="D23" s="31"/>
      <c r="E23" s="32"/>
      <c r="F23" s="33"/>
      <c r="G23" s="34"/>
      <c r="H23" s="510" t="str">
        <f t="shared" si="0"/>
        <v/>
      </c>
      <c r="I23" s="1"/>
    </row>
    <row r="24" spans="1:9" ht="26.25" customHeight="1" x14ac:dyDescent="0.15">
      <c r="A24" s="1"/>
      <c r="B24" s="29"/>
      <c r="C24" s="30"/>
      <c r="D24" s="31"/>
      <c r="E24" s="32"/>
      <c r="F24" s="33"/>
      <c r="G24" s="34"/>
      <c r="H24" s="510" t="str">
        <f t="shared" si="0"/>
        <v/>
      </c>
      <c r="I24" s="1"/>
    </row>
    <row r="25" spans="1:9" ht="26.25" customHeight="1" x14ac:dyDescent="0.15">
      <c r="A25" s="1"/>
      <c r="B25" s="29"/>
      <c r="C25" s="30"/>
      <c r="D25" s="31"/>
      <c r="E25" s="32"/>
      <c r="F25" s="33"/>
      <c r="G25" s="34"/>
      <c r="H25" s="510" t="str">
        <f t="shared" si="0"/>
        <v/>
      </c>
      <c r="I25" s="1"/>
    </row>
    <row r="26" spans="1:9" ht="26.25" customHeight="1" x14ac:dyDescent="0.15">
      <c r="A26" s="1"/>
      <c r="B26" s="29"/>
      <c r="C26" s="30"/>
      <c r="D26" s="31"/>
      <c r="E26" s="32"/>
      <c r="F26" s="33"/>
      <c r="G26" s="34"/>
      <c r="H26" s="510" t="str">
        <f t="shared" si="0"/>
        <v/>
      </c>
      <c r="I26" s="1"/>
    </row>
    <row r="27" spans="1:9" ht="26.25" customHeight="1" x14ac:dyDescent="0.15">
      <c r="A27" s="1"/>
      <c r="B27" s="29"/>
      <c r="C27" s="30"/>
      <c r="D27" s="31"/>
      <c r="E27" s="32"/>
      <c r="F27" s="33"/>
      <c r="G27" s="34"/>
      <c r="H27" s="510" t="str">
        <f t="shared" si="0"/>
        <v/>
      </c>
      <c r="I27" s="1"/>
    </row>
    <row r="28" spans="1:9" ht="26.25" customHeight="1" x14ac:dyDescent="0.15">
      <c r="A28" s="1"/>
      <c r="B28" s="29"/>
      <c r="C28" s="30"/>
      <c r="D28" s="31"/>
      <c r="E28" s="32"/>
      <c r="F28" s="33"/>
      <c r="G28" s="34"/>
      <c r="H28" s="510" t="str">
        <f t="shared" si="0"/>
        <v/>
      </c>
      <c r="I28" s="1"/>
    </row>
    <row r="29" spans="1:9" ht="26.25" customHeight="1" x14ac:dyDescent="0.15">
      <c r="A29" s="1"/>
      <c r="B29" s="29"/>
      <c r="C29" s="30"/>
      <c r="D29" s="35"/>
      <c r="E29" s="36"/>
      <c r="F29" s="33"/>
      <c r="G29" s="34"/>
      <c r="H29" s="510" t="str">
        <f t="shared" si="0"/>
        <v/>
      </c>
      <c r="I29" s="1"/>
    </row>
    <row r="30" spans="1:9" ht="26.25" customHeight="1" x14ac:dyDescent="0.15">
      <c r="A30" s="1"/>
      <c r="B30" s="29"/>
      <c r="C30" s="30"/>
      <c r="D30" s="35"/>
      <c r="E30" s="36"/>
      <c r="F30" s="33"/>
      <c r="G30" s="34"/>
      <c r="H30" s="510" t="str">
        <f t="shared" si="0"/>
        <v/>
      </c>
      <c r="I30" s="1"/>
    </row>
    <row r="31" spans="1:9" ht="26.25" customHeight="1" x14ac:dyDescent="0.15">
      <c r="A31" s="1"/>
      <c r="B31" s="29"/>
      <c r="C31" s="30"/>
      <c r="D31" s="37"/>
      <c r="E31" s="36"/>
      <c r="F31" s="33"/>
      <c r="G31" s="34"/>
      <c r="H31" s="510" t="str">
        <f t="shared" si="0"/>
        <v/>
      </c>
      <c r="I31" s="1"/>
    </row>
    <row r="32" spans="1:9" ht="26.25" customHeight="1" x14ac:dyDescent="0.15">
      <c r="A32" s="1"/>
      <c r="B32" s="29"/>
      <c r="C32" s="30"/>
      <c r="D32" s="37"/>
      <c r="E32" s="36"/>
      <c r="F32" s="33"/>
      <c r="G32" s="34"/>
      <c r="H32" s="510" t="str">
        <f t="shared" si="0"/>
        <v/>
      </c>
      <c r="I32" s="1"/>
    </row>
    <row r="33" spans="1:9" ht="26.25" customHeight="1" thickBot="1" x14ac:dyDescent="0.2">
      <c r="A33" s="1"/>
      <c r="B33" s="38"/>
      <c r="C33" s="39"/>
      <c r="D33" s="40"/>
      <c r="E33" s="41"/>
      <c r="F33" s="42"/>
      <c r="G33" s="43"/>
      <c r="H33" s="511" t="str">
        <f t="shared" si="0"/>
        <v/>
      </c>
      <c r="I33" s="1"/>
    </row>
    <row r="34" spans="1:9" x14ac:dyDescent="0.15">
      <c r="A34" s="1"/>
      <c r="B34" s="1"/>
      <c r="C34" s="1"/>
      <c r="D34" s="44"/>
      <c r="E34" s="45"/>
      <c r="F34" s="1"/>
      <c r="G34" s="1"/>
      <c r="H34" s="45"/>
      <c r="I34" s="1"/>
    </row>
  </sheetData>
  <mergeCells count="7">
    <mergeCell ref="B9:C9"/>
    <mergeCell ref="B11:C11"/>
    <mergeCell ref="B7:C7"/>
    <mergeCell ref="B1:H1"/>
    <mergeCell ref="B3:C3"/>
    <mergeCell ref="D3:H3"/>
    <mergeCell ref="B5:C5"/>
  </mergeCells>
  <phoneticPr fontId="3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1"/>
  <dimension ref="A1:J24"/>
  <sheetViews>
    <sheetView workbookViewId="0">
      <selection activeCell="M6" sqref="M6"/>
    </sheetView>
  </sheetViews>
  <sheetFormatPr defaultRowHeight="16.5" x14ac:dyDescent="0.3"/>
  <cols>
    <col min="1" max="1" width="13.875" customWidth="1"/>
    <col min="2" max="4" width="11.875" bestFit="1" customWidth="1"/>
    <col min="5" max="7" width="8.75" bestFit="1" customWidth="1"/>
    <col min="8" max="10" width="10.25" bestFit="1" customWidth="1"/>
  </cols>
  <sheetData>
    <row r="1" spans="1:10" x14ac:dyDescent="0.15">
      <c r="A1" s="168"/>
      <c r="B1" s="168"/>
      <c r="C1" s="168"/>
      <c r="D1" s="168"/>
      <c r="E1" s="168"/>
      <c r="F1" s="168"/>
      <c r="G1" s="169"/>
      <c r="H1" s="168"/>
      <c r="I1" s="168"/>
      <c r="J1" s="168"/>
    </row>
    <row r="2" spans="1:10" ht="20.25" x14ac:dyDescent="0.25">
      <c r="A2" s="170" t="s">
        <v>76</v>
      </c>
      <c r="B2" s="168"/>
      <c r="C2" s="168"/>
      <c r="D2" s="168"/>
      <c r="E2" s="168"/>
      <c r="F2" s="168"/>
      <c r="G2" s="169"/>
      <c r="H2" s="168"/>
      <c r="I2" s="168"/>
      <c r="J2" s="168"/>
    </row>
    <row r="3" spans="1:10" x14ac:dyDescent="0.15">
      <c r="A3" s="168"/>
      <c r="B3" s="168"/>
      <c r="C3" s="168"/>
      <c r="D3" s="168"/>
      <c r="E3" s="168"/>
      <c r="F3" s="168"/>
      <c r="G3" s="169"/>
      <c r="H3" s="168"/>
      <c r="I3" s="168"/>
      <c r="J3" s="168"/>
    </row>
    <row r="4" spans="1:10" x14ac:dyDescent="0.15">
      <c r="A4" s="171" t="s">
        <v>77</v>
      </c>
      <c r="B4" s="168"/>
      <c r="C4" s="168"/>
      <c r="D4" s="168"/>
      <c r="E4" s="168"/>
      <c r="F4" s="168"/>
      <c r="G4" s="169"/>
      <c r="H4" s="168"/>
      <c r="I4" s="168"/>
      <c r="J4" s="168"/>
    </row>
    <row r="5" spans="1:10" x14ac:dyDescent="0.15">
      <c r="A5" s="171"/>
      <c r="B5" s="168"/>
      <c r="C5" s="168"/>
      <c r="D5" s="168"/>
      <c r="E5" s="168"/>
      <c r="F5" s="168"/>
      <c r="G5" s="169"/>
      <c r="H5" s="168"/>
      <c r="I5" s="168"/>
      <c r="J5" s="168"/>
    </row>
    <row r="6" spans="1:10" x14ac:dyDescent="0.15">
      <c r="A6" s="172" t="s">
        <v>78</v>
      </c>
      <c r="B6" s="172" t="s">
        <v>79</v>
      </c>
      <c r="C6" s="172" t="s">
        <v>80</v>
      </c>
      <c r="D6" s="172" t="s">
        <v>81</v>
      </c>
      <c r="E6" s="172" t="s">
        <v>82</v>
      </c>
      <c r="F6" s="172" t="s">
        <v>83</v>
      </c>
      <c r="G6" s="173" t="s">
        <v>84</v>
      </c>
      <c r="H6" s="172" t="s">
        <v>85</v>
      </c>
      <c r="I6" s="172" t="s">
        <v>86</v>
      </c>
      <c r="J6" s="172" t="s">
        <v>87</v>
      </c>
    </row>
    <row r="7" spans="1:10" x14ac:dyDescent="0.15">
      <c r="A7" s="172">
        <v>0</v>
      </c>
      <c r="B7" s="172">
        <v>1.9</v>
      </c>
      <c r="C7" s="172">
        <v>1.9</v>
      </c>
      <c r="D7" s="172">
        <v>1.9</v>
      </c>
      <c r="E7" s="172">
        <v>3.1</v>
      </c>
      <c r="F7" s="172">
        <v>3.1</v>
      </c>
      <c r="G7" s="173">
        <v>3.1</v>
      </c>
      <c r="H7" s="172">
        <v>4.3</v>
      </c>
      <c r="I7" s="172">
        <v>4.3</v>
      </c>
      <c r="J7" s="172">
        <v>4.3</v>
      </c>
    </row>
    <row r="8" spans="1:10" x14ac:dyDescent="0.15">
      <c r="A8" s="174">
        <v>100.000001</v>
      </c>
      <c r="B8" s="172">
        <v>1.4</v>
      </c>
      <c r="C8" s="172">
        <v>1.4</v>
      </c>
      <c r="D8" s="172">
        <v>1.4</v>
      </c>
      <c r="E8" s="172">
        <v>2.2999999999999998</v>
      </c>
      <c r="F8" s="172">
        <v>2.2999999999999998</v>
      </c>
      <c r="G8" s="173">
        <v>2.2999999999999998</v>
      </c>
      <c r="H8" s="172">
        <v>3.3</v>
      </c>
      <c r="I8" s="172">
        <v>3.3</v>
      </c>
      <c r="J8" s="172">
        <v>3.3</v>
      </c>
    </row>
    <row r="9" spans="1:10" x14ac:dyDescent="0.15">
      <c r="A9" s="174">
        <v>200.000001</v>
      </c>
      <c r="B9" s="172">
        <v>1.1000000000000001</v>
      </c>
      <c r="C9" s="172">
        <v>1.1000000000000001</v>
      </c>
      <c r="D9" s="172">
        <v>1.1000000000000001</v>
      </c>
      <c r="E9" s="172">
        <v>1.9</v>
      </c>
      <c r="F9" s="172">
        <v>1.9</v>
      </c>
      <c r="G9" s="173">
        <v>1.9</v>
      </c>
      <c r="H9" s="172">
        <v>2.5</v>
      </c>
      <c r="I9" s="172">
        <v>2.5</v>
      </c>
      <c r="J9" s="172">
        <v>2.5</v>
      </c>
    </row>
    <row r="10" spans="1:10" x14ac:dyDescent="0.15">
      <c r="A10" s="168"/>
      <c r="B10" s="168"/>
      <c r="C10" s="168"/>
      <c r="D10" s="168"/>
      <c r="E10" s="168"/>
      <c r="F10" s="168"/>
      <c r="G10" s="169"/>
      <c r="H10" s="168"/>
      <c r="I10" s="168"/>
      <c r="J10" s="168"/>
    </row>
    <row r="11" spans="1:10" x14ac:dyDescent="0.15">
      <c r="A11" s="171" t="s">
        <v>88</v>
      </c>
      <c r="B11" s="168"/>
      <c r="C11" s="168"/>
      <c r="D11" s="168"/>
      <c r="E11" s="168"/>
      <c r="F11" s="168"/>
      <c r="G11" s="169"/>
      <c r="H11" s="168"/>
      <c r="I11" s="168"/>
      <c r="J11" s="168"/>
    </row>
    <row r="12" spans="1:10" x14ac:dyDescent="0.15">
      <c r="A12" s="168"/>
      <c r="B12" s="168"/>
      <c r="C12" s="168"/>
      <c r="D12" s="168"/>
      <c r="E12" s="168"/>
      <c r="F12" s="168"/>
      <c r="G12" s="169"/>
      <c r="H12" s="168"/>
      <c r="I12" s="168"/>
      <c r="J12" s="168"/>
    </row>
    <row r="13" spans="1:10" x14ac:dyDescent="0.15">
      <c r="A13" s="172" t="s">
        <v>78</v>
      </c>
      <c r="B13" s="172" t="s">
        <v>79</v>
      </c>
      <c r="C13" s="172" t="s">
        <v>80</v>
      </c>
      <c r="D13" s="172" t="s">
        <v>81</v>
      </c>
      <c r="E13" s="172" t="s">
        <v>82</v>
      </c>
      <c r="F13" s="172" t="s">
        <v>83</v>
      </c>
      <c r="G13" s="173" t="s">
        <v>84</v>
      </c>
      <c r="H13" s="172" t="s">
        <v>85</v>
      </c>
      <c r="I13" s="172" t="s">
        <v>86</v>
      </c>
      <c r="J13" s="172" t="s">
        <v>87</v>
      </c>
    </row>
    <row r="14" spans="1:10" x14ac:dyDescent="0.15">
      <c r="A14" s="172">
        <v>0</v>
      </c>
      <c r="B14" s="172">
        <v>1.8</v>
      </c>
      <c r="C14" s="172">
        <v>1.8</v>
      </c>
      <c r="D14" s="172">
        <v>2</v>
      </c>
      <c r="E14" s="172">
        <v>2.9</v>
      </c>
      <c r="F14" s="172">
        <v>2.9</v>
      </c>
      <c r="G14" s="173">
        <v>3.3</v>
      </c>
      <c r="H14" s="172">
        <v>4.0999999999999996</v>
      </c>
      <c r="I14" s="172">
        <v>4.0999999999999996</v>
      </c>
      <c r="J14" s="172">
        <v>4.5999999999999996</v>
      </c>
    </row>
    <row r="15" spans="1:10" x14ac:dyDescent="0.15">
      <c r="A15" s="174">
        <v>100.000001</v>
      </c>
      <c r="B15" s="172">
        <v>1.3</v>
      </c>
      <c r="C15" s="172">
        <v>1.3</v>
      </c>
      <c r="D15" s="172">
        <v>1.5</v>
      </c>
      <c r="E15" s="172">
        <v>2.1</v>
      </c>
      <c r="F15" s="172">
        <v>2.1</v>
      </c>
      <c r="G15" s="173">
        <v>2.4</v>
      </c>
      <c r="H15" s="172">
        <v>3</v>
      </c>
      <c r="I15" s="172">
        <v>3</v>
      </c>
      <c r="J15" s="172">
        <v>3.4</v>
      </c>
    </row>
    <row r="16" spans="1:10" x14ac:dyDescent="0.15">
      <c r="A16" s="174">
        <v>200.000001</v>
      </c>
      <c r="B16" s="172">
        <v>1</v>
      </c>
      <c r="C16" s="172">
        <v>1</v>
      </c>
      <c r="D16" s="172">
        <v>1.1000000000000001</v>
      </c>
      <c r="E16" s="172">
        <v>1.8</v>
      </c>
      <c r="F16" s="172">
        <v>1.8</v>
      </c>
      <c r="G16" s="173">
        <v>1.9</v>
      </c>
      <c r="H16" s="172">
        <v>2.4</v>
      </c>
      <c r="I16" s="172">
        <v>2.4</v>
      </c>
      <c r="J16" s="172">
        <v>2.7</v>
      </c>
    </row>
    <row r="17" spans="1:10" x14ac:dyDescent="0.15">
      <c r="A17" s="168"/>
      <c r="B17" s="168"/>
      <c r="C17" s="168"/>
      <c r="D17" s="168"/>
      <c r="E17" s="168"/>
      <c r="F17" s="168"/>
      <c r="G17" s="169"/>
      <c r="H17" s="168"/>
      <c r="I17" s="168"/>
      <c r="J17" s="168"/>
    </row>
    <row r="18" spans="1:10" x14ac:dyDescent="0.15">
      <c r="A18" s="171" t="s">
        <v>89</v>
      </c>
      <c r="B18" s="168"/>
      <c r="C18" s="168"/>
      <c r="D18" s="168"/>
      <c r="E18" s="168"/>
      <c r="F18" s="168"/>
      <c r="G18" s="169"/>
      <c r="H18" s="168"/>
      <c r="I18" s="168"/>
      <c r="J18" s="168"/>
    </row>
    <row r="19" spans="1:10" x14ac:dyDescent="0.15">
      <c r="A19" s="168"/>
      <c r="B19" s="168"/>
      <c r="C19" s="168"/>
      <c r="D19" s="168"/>
      <c r="E19" s="168"/>
      <c r="F19" s="168"/>
      <c r="G19" s="169"/>
      <c r="H19" s="168"/>
      <c r="I19" s="168"/>
      <c r="J19" s="168"/>
    </row>
    <row r="20" spans="1:10" x14ac:dyDescent="0.15">
      <c r="A20" s="172" t="s">
        <v>78</v>
      </c>
      <c r="B20" s="172" t="s">
        <v>79</v>
      </c>
      <c r="C20" s="172" t="s">
        <v>80</v>
      </c>
      <c r="D20" s="172" t="s">
        <v>81</v>
      </c>
      <c r="E20" s="172" t="s">
        <v>82</v>
      </c>
      <c r="F20" s="172" t="s">
        <v>83</v>
      </c>
      <c r="G20" s="173" t="s">
        <v>84</v>
      </c>
      <c r="H20" s="172" t="s">
        <v>85</v>
      </c>
      <c r="I20" s="172" t="s">
        <v>86</v>
      </c>
      <c r="J20" s="172" t="s">
        <v>87</v>
      </c>
    </row>
    <row r="21" spans="1:10" x14ac:dyDescent="0.15">
      <c r="A21" s="172">
        <v>0</v>
      </c>
      <c r="B21" s="172">
        <v>1.3</v>
      </c>
      <c r="C21" s="172">
        <v>1.5</v>
      </c>
      <c r="D21" s="172">
        <v>1.8</v>
      </c>
      <c r="E21" s="172">
        <v>2.1</v>
      </c>
      <c r="F21" s="172">
        <v>2.5</v>
      </c>
      <c r="G21" s="173">
        <v>2.9</v>
      </c>
      <c r="H21" s="172">
        <v>2.9</v>
      </c>
      <c r="I21" s="172">
        <v>3.5</v>
      </c>
      <c r="J21" s="172">
        <v>4.0999999999999996</v>
      </c>
    </row>
    <row r="22" spans="1:10" x14ac:dyDescent="0.15">
      <c r="A22" s="174">
        <v>100.000001</v>
      </c>
      <c r="B22" s="172">
        <v>1</v>
      </c>
      <c r="C22" s="172">
        <v>1.1000000000000001</v>
      </c>
      <c r="D22" s="172">
        <v>1.8</v>
      </c>
      <c r="E22" s="172">
        <v>1.5</v>
      </c>
      <c r="F22" s="172">
        <v>1.8</v>
      </c>
      <c r="G22" s="173">
        <v>2.1</v>
      </c>
      <c r="H22" s="172">
        <v>2.1</v>
      </c>
      <c r="I22" s="172">
        <v>2.5</v>
      </c>
      <c r="J22" s="172">
        <v>2.9</v>
      </c>
    </row>
    <row r="23" spans="1:10" x14ac:dyDescent="0.15">
      <c r="A23" s="174">
        <v>200.000001</v>
      </c>
      <c r="B23" s="172">
        <v>0.8</v>
      </c>
      <c r="C23" s="172">
        <v>0.9</v>
      </c>
      <c r="D23" s="172">
        <v>1</v>
      </c>
      <c r="E23" s="172">
        <v>1.3</v>
      </c>
      <c r="F23" s="172">
        <v>1.5</v>
      </c>
      <c r="G23" s="173">
        <v>1.7</v>
      </c>
      <c r="H23" s="172">
        <v>1.7</v>
      </c>
      <c r="I23" s="172">
        <v>2.1</v>
      </c>
      <c r="J23" s="172">
        <v>2.2999999999999998</v>
      </c>
    </row>
    <row r="24" spans="1:10" x14ac:dyDescent="0.15">
      <c r="A24" s="168"/>
      <c r="B24" s="168"/>
      <c r="C24" s="168"/>
      <c r="D24" s="168"/>
      <c r="E24" s="168"/>
      <c r="F24" s="168"/>
      <c r="G24" s="169"/>
      <c r="H24" s="168"/>
      <c r="I24" s="168"/>
      <c r="J24" s="168"/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1"/>
  <dimension ref="A1:AC151"/>
  <sheetViews>
    <sheetView zoomScale="85" zoomScaleNormal="85" workbookViewId="0">
      <selection sqref="A1:S1"/>
    </sheetView>
  </sheetViews>
  <sheetFormatPr defaultRowHeight="16.5" x14ac:dyDescent="0.3"/>
  <cols>
    <col min="2" max="2" width="15.625" customWidth="1"/>
  </cols>
  <sheetData>
    <row r="1" spans="1:29" ht="18.75" x14ac:dyDescent="0.3">
      <c r="A1" s="522" t="s">
        <v>1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</row>
    <row r="2" spans="1:29" x14ac:dyDescent="0.15">
      <c r="A2" s="48" t="s">
        <v>2</v>
      </c>
      <c r="B2" s="524" t="s">
        <v>422</v>
      </c>
      <c r="C2" s="524"/>
      <c r="D2" s="524"/>
      <c r="E2" s="49">
        <v>1</v>
      </c>
      <c r="F2" s="49">
        <f>E2+1</f>
        <v>2</v>
      </c>
      <c r="G2" s="49">
        <f t="shared" ref="G2:AC2" si="0">F2+1</f>
        <v>3</v>
      </c>
      <c r="H2" s="49">
        <f t="shared" si="0"/>
        <v>4</v>
      </c>
      <c r="I2" s="49">
        <f t="shared" si="0"/>
        <v>5</v>
      </c>
      <c r="J2" s="49">
        <f t="shared" si="0"/>
        <v>6</v>
      </c>
      <c r="K2" s="49">
        <f t="shared" si="0"/>
        <v>7</v>
      </c>
      <c r="L2" s="49">
        <f t="shared" si="0"/>
        <v>8</v>
      </c>
      <c r="M2" s="49">
        <f t="shared" si="0"/>
        <v>9</v>
      </c>
      <c r="N2" s="49">
        <f t="shared" si="0"/>
        <v>10</v>
      </c>
      <c r="O2" s="49">
        <f t="shared" si="0"/>
        <v>11</v>
      </c>
      <c r="P2" s="49">
        <f t="shared" si="0"/>
        <v>12</v>
      </c>
      <c r="Q2" s="49">
        <f t="shared" si="0"/>
        <v>13</v>
      </c>
      <c r="R2" s="49">
        <f t="shared" si="0"/>
        <v>14</v>
      </c>
      <c r="S2" s="49">
        <f t="shared" si="0"/>
        <v>15</v>
      </c>
      <c r="T2" s="49">
        <f t="shared" si="0"/>
        <v>16</v>
      </c>
      <c r="U2" s="49">
        <f t="shared" si="0"/>
        <v>17</v>
      </c>
      <c r="V2" s="49">
        <f t="shared" si="0"/>
        <v>18</v>
      </c>
      <c r="W2" s="49">
        <f t="shared" si="0"/>
        <v>19</v>
      </c>
      <c r="X2" s="49">
        <f t="shared" si="0"/>
        <v>20</v>
      </c>
      <c r="Y2" s="49">
        <f t="shared" si="0"/>
        <v>21</v>
      </c>
      <c r="Z2" s="49">
        <f t="shared" si="0"/>
        <v>22</v>
      </c>
      <c r="AA2" s="49">
        <f t="shared" si="0"/>
        <v>23</v>
      </c>
      <c r="AB2" s="49">
        <f t="shared" si="0"/>
        <v>24</v>
      </c>
      <c r="AC2" s="49">
        <f t="shared" si="0"/>
        <v>25</v>
      </c>
    </row>
    <row r="3" spans="1:29" x14ac:dyDescent="0.3">
      <c r="A3" s="525" t="s">
        <v>3</v>
      </c>
      <c r="B3" s="526"/>
      <c r="C3" s="526"/>
      <c r="D3" s="526"/>
      <c r="E3" s="50">
        <v>25</v>
      </c>
      <c r="F3" s="50">
        <v>32</v>
      </c>
      <c r="G3" s="50">
        <v>37</v>
      </c>
      <c r="H3" s="50">
        <v>80</v>
      </c>
      <c r="I3" s="50">
        <v>147</v>
      </c>
      <c r="J3" s="50">
        <v>184</v>
      </c>
      <c r="K3" s="50">
        <v>190</v>
      </c>
      <c r="L3" s="50">
        <v>199</v>
      </c>
      <c r="M3" s="50">
        <v>403</v>
      </c>
      <c r="N3" s="50">
        <v>471</v>
      </c>
      <c r="O3" s="50">
        <v>489</v>
      </c>
      <c r="P3" s="50">
        <v>492</v>
      </c>
      <c r="Q3" s="51"/>
      <c r="R3" s="51"/>
      <c r="S3" s="432"/>
      <c r="T3" s="51"/>
      <c r="U3" s="442"/>
      <c r="V3" s="51"/>
      <c r="W3" s="51"/>
      <c r="X3" s="51"/>
      <c r="Y3" s="51"/>
      <c r="Z3" s="51"/>
      <c r="AA3" s="51"/>
      <c r="AB3" s="51"/>
      <c r="AC3" s="437"/>
    </row>
    <row r="4" spans="1:29" x14ac:dyDescent="0.3">
      <c r="A4" s="52" t="s">
        <v>4</v>
      </c>
      <c r="B4" s="53" t="s">
        <v>5</v>
      </c>
      <c r="C4" s="53" t="s">
        <v>6</v>
      </c>
      <c r="D4" s="53" t="s">
        <v>7</v>
      </c>
      <c r="E4" s="54" t="s">
        <v>423</v>
      </c>
      <c r="F4" s="54" t="s">
        <v>424</v>
      </c>
      <c r="G4" s="54" t="s">
        <v>425</v>
      </c>
      <c r="H4" s="54" t="s">
        <v>426</v>
      </c>
      <c r="I4" s="54" t="s">
        <v>427</v>
      </c>
      <c r="J4" s="54" t="s">
        <v>428</v>
      </c>
      <c r="K4" s="54" t="s">
        <v>429</v>
      </c>
      <c r="L4" s="54" t="s">
        <v>430</v>
      </c>
      <c r="M4" s="54" t="s">
        <v>431</v>
      </c>
      <c r="N4" s="54" t="s">
        <v>432</v>
      </c>
      <c r="O4" s="54" t="s">
        <v>433</v>
      </c>
      <c r="P4" s="54" t="s">
        <v>434</v>
      </c>
      <c r="Q4" s="54"/>
      <c r="R4" s="54"/>
      <c r="S4" s="433"/>
      <c r="T4" s="54"/>
      <c r="U4" s="443"/>
      <c r="V4" s="54"/>
      <c r="W4" s="54"/>
      <c r="X4" s="54"/>
      <c r="Y4" s="54"/>
      <c r="Z4" s="54"/>
      <c r="AA4" s="54"/>
      <c r="AB4" s="54"/>
      <c r="AC4" s="438"/>
    </row>
    <row r="5" spans="1:29" x14ac:dyDescent="0.15">
      <c r="A5" s="55">
        <v>77.739000000000004</v>
      </c>
      <c r="B5" s="56" t="s">
        <v>413</v>
      </c>
      <c r="C5" s="56"/>
      <c r="D5" s="56" t="s">
        <v>435</v>
      </c>
      <c r="E5" s="57">
        <v>195000</v>
      </c>
      <c r="F5" s="57">
        <v>235000</v>
      </c>
      <c r="G5" s="57">
        <v>210000</v>
      </c>
      <c r="H5" s="57">
        <v>243000</v>
      </c>
      <c r="I5" s="57">
        <v>270000</v>
      </c>
      <c r="J5" s="57">
        <v>195000</v>
      </c>
      <c r="K5" s="57">
        <v>210000</v>
      </c>
      <c r="L5" s="57">
        <v>277500</v>
      </c>
      <c r="M5" s="57">
        <v>209500</v>
      </c>
      <c r="N5" s="57">
        <v>243000</v>
      </c>
      <c r="O5" s="57">
        <v>240000</v>
      </c>
      <c r="P5" s="57">
        <v>234000</v>
      </c>
      <c r="Q5" s="57"/>
      <c r="R5" s="57"/>
      <c r="S5" s="434"/>
      <c r="T5" s="57"/>
      <c r="U5" s="444"/>
      <c r="V5" s="57"/>
      <c r="W5" s="57"/>
      <c r="X5" s="57"/>
      <c r="Y5" s="57"/>
      <c r="Z5" s="57"/>
      <c r="AA5" s="57"/>
      <c r="AB5" s="57"/>
      <c r="AC5" s="439"/>
    </row>
    <row r="6" spans="1:29" x14ac:dyDescent="0.15">
      <c r="A6" s="58">
        <v>14.395</v>
      </c>
      <c r="B6" s="59" t="s">
        <v>413</v>
      </c>
      <c r="C6" s="59"/>
      <c r="D6" s="59" t="s">
        <v>436</v>
      </c>
      <c r="E6" s="60">
        <v>195000</v>
      </c>
      <c r="F6" s="60">
        <v>163000</v>
      </c>
      <c r="G6" s="60">
        <v>168000</v>
      </c>
      <c r="H6" s="60">
        <v>159000</v>
      </c>
      <c r="I6" s="60">
        <v>195000</v>
      </c>
      <c r="J6" s="60">
        <v>189000</v>
      </c>
      <c r="K6" s="60"/>
      <c r="L6" s="60">
        <v>202500</v>
      </c>
      <c r="M6" s="60">
        <v>194000</v>
      </c>
      <c r="N6" s="60">
        <v>210000</v>
      </c>
      <c r="O6" s="60">
        <v>225000</v>
      </c>
      <c r="P6" s="60">
        <v>216000</v>
      </c>
      <c r="Q6" s="60"/>
      <c r="R6" s="60"/>
      <c r="S6" s="435"/>
      <c r="T6" s="60"/>
      <c r="U6" s="445"/>
      <c r="V6" s="60"/>
      <c r="W6" s="60"/>
      <c r="X6" s="60"/>
      <c r="Y6" s="60"/>
      <c r="Z6" s="60"/>
      <c r="AA6" s="60"/>
      <c r="AB6" s="60"/>
      <c r="AC6" s="440"/>
    </row>
    <row r="7" spans="1:29" x14ac:dyDescent="0.15">
      <c r="A7" s="58">
        <v>204.93</v>
      </c>
      <c r="B7" s="59" t="s">
        <v>413</v>
      </c>
      <c r="C7" s="59"/>
      <c r="D7" s="59" t="s">
        <v>437</v>
      </c>
      <c r="E7" s="60">
        <v>162000</v>
      </c>
      <c r="F7" s="60">
        <v>163000</v>
      </c>
      <c r="G7" s="60">
        <v>135000</v>
      </c>
      <c r="H7" s="60">
        <v>153000</v>
      </c>
      <c r="I7" s="60">
        <v>183000</v>
      </c>
      <c r="J7" s="60">
        <v>180000</v>
      </c>
      <c r="K7" s="60"/>
      <c r="L7" s="60">
        <v>162000</v>
      </c>
      <c r="M7" s="60">
        <v>188000</v>
      </c>
      <c r="N7" s="60">
        <v>183000</v>
      </c>
      <c r="O7" s="60">
        <v>177000</v>
      </c>
      <c r="P7" s="60">
        <v>186000</v>
      </c>
      <c r="Q7" s="60"/>
      <c r="R7" s="60"/>
      <c r="S7" s="435"/>
      <c r="T7" s="60"/>
      <c r="U7" s="445"/>
      <c r="V7" s="60"/>
      <c r="W7" s="60"/>
      <c r="X7" s="60"/>
      <c r="Y7" s="60"/>
      <c r="Z7" s="60"/>
      <c r="AA7" s="60"/>
      <c r="AB7" s="60"/>
      <c r="AC7" s="440"/>
    </row>
    <row r="8" spans="1:29" x14ac:dyDescent="0.15">
      <c r="A8" s="58">
        <v>28.986000000000001</v>
      </c>
      <c r="B8" s="59" t="s">
        <v>416</v>
      </c>
      <c r="C8" s="59"/>
      <c r="D8" s="59" t="s">
        <v>438</v>
      </c>
      <c r="E8" s="60"/>
      <c r="F8" s="60">
        <v>54000</v>
      </c>
      <c r="G8" s="60"/>
      <c r="H8" s="60"/>
      <c r="I8" s="60"/>
      <c r="J8" s="60"/>
      <c r="K8" s="60">
        <v>53800</v>
      </c>
      <c r="L8" s="60"/>
      <c r="M8" s="60">
        <v>54000</v>
      </c>
      <c r="N8" s="60">
        <v>54000</v>
      </c>
      <c r="O8" s="60">
        <v>54200</v>
      </c>
      <c r="P8" s="60"/>
      <c r="Q8" s="60"/>
      <c r="R8" s="60"/>
      <c r="S8" s="435"/>
      <c r="T8" s="60"/>
      <c r="U8" s="445"/>
      <c r="V8" s="60"/>
      <c r="W8" s="60"/>
      <c r="X8" s="60"/>
      <c r="Y8" s="60"/>
      <c r="Z8" s="60"/>
      <c r="AA8" s="60"/>
      <c r="AB8" s="60"/>
      <c r="AC8" s="440"/>
    </row>
    <row r="9" spans="1:29" x14ac:dyDescent="0.15">
      <c r="A9" s="58">
        <v>7.391</v>
      </c>
      <c r="B9" s="59" t="s">
        <v>418</v>
      </c>
      <c r="C9" s="59"/>
      <c r="D9" s="59" t="s">
        <v>436</v>
      </c>
      <c r="E9" s="60">
        <v>145000</v>
      </c>
      <c r="F9" s="60"/>
      <c r="G9" s="60">
        <v>165700</v>
      </c>
      <c r="H9" s="60">
        <v>147800</v>
      </c>
      <c r="I9" s="60"/>
      <c r="J9" s="60"/>
      <c r="K9" s="60">
        <v>146000</v>
      </c>
      <c r="L9" s="60">
        <v>150000</v>
      </c>
      <c r="M9" s="60">
        <v>143500</v>
      </c>
      <c r="N9" s="60"/>
      <c r="O9" s="60">
        <v>150000</v>
      </c>
      <c r="P9" s="60">
        <v>147000</v>
      </c>
      <c r="Q9" s="60"/>
      <c r="R9" s="60"/>
      <c r="S9" s="435"/>
      <c r="T9" s="60"/>
      <c r="U9" s="445"/>
      <c r="V9" s="60"/>
      <c r="W9" s="60"/>
      <c r="X9" s="60"/>
      <c r="Y9" s="60"/>
      <c r="Z9" s="60"/>
      <c r="AA9" s="60"/>
      <c r="AB9" s="60"/>
      <c r="AC9" s="440"/>
    </row>
    <row r="10" spans="1:29" x14ac:dyDescent="0.15">
      <c r="A10" s="58">
        <v>44.206000000000003</v>
      </c>
      <c r="B10" s="59" t="s">
        <v>418</v>
      </c>
      <c r="C10" s="59"/>
      <c r="D10" s="59" t="s">
        <v>437</v>
      </c>
      <c r="E10" s="60">
        <v>141000</v>
      </c>
      <c r="F10" s="60"/>
      <c r="G10" s="60">
        <v>159700</v>
      </c>
      <c r="H10" s="60">
        <v>142400</v>
      </c>
      <c r="I10" s="60"/>
      <c r="J10" s="60"/>
      <c r="K10" s="60">
        <v>143000</v>
      </c>
      <c r="L10" s="60">
        <v>150000</v>
      </c>
      <c r="M10" s="60">
        <v>136900</v>
      </c>
      <c r="N10" s="60"/>
      <c r="O10" s="60">
        <v>141000</v>
      </c>
      <c r="P10" s="60">
        <v>141000</v>
      </c>
      <c r="Q10" s="60"/>
      <c r="R10" s="60"/>
      <c r="S10" s="435"/>
      <c r="T10" s="60"/>
      <c r="U10" s="445"/>
      <c r="V10" s="60"/>
      <c r="W10" s="60"/>
      <c r="X10" s="60"/>
      <c r="Y10" s="60"/>
      <c r="Z10" s="60"/>
      <c r="AA10" s="60"/>
      <c r="AB10" s="60"/>
      <c r="AC10" s="440"/>
    </row>
    <row r="11" spans="1:29" x14ac:dyDescent="0.15">
      <c r="A11" s="58">
        <v>17.503</v>
      </c>
      <c r="B11" s="59" t="s">
        <v>419</v>
      </c>
      <c r="C11" s="59"/>
      <c r="D11" s="59" t="s">
        <v>438</v>
      </c>
      <c r="E11" s="60"/>
      <c r="F11" s="60">
        <v>54500</v>
      </c>
      <c r="G11" s="60"/>
      <c r="H11" s="60"/>
      <c r="I11" s="60"/>
      <c r="J11" s="60"/>
      <c r="K11" s="60">
        <v>54800</v>
      </c>
      <c r="L11" s="60"/>
      <c r="M11" s="60"/>
      <c r="N11" s="60"/>
      <c r="O11" s="60">
        <v>54000</v>
      </c>
      <c r="P11" s="60"/>
      <c r="Q11" s="60"/>
      <c r="R11" s="60"/>
      <c r="S11" s="435"/>
      <c r="T11" s="60"/>
      <c r="U11" s="445"/>
      <c r="V11" s="60"/>
      <c r="W11" s="60"/>
      <c r="X11" s="60"/>
      <c r="Y11" s="60"/>
      <c r="Z11" s="60"/>
      <c r="AA11" s="60"/>
      <c r="AB11" s="60"/>
      <c r="AC11" s="440"/>
    </row>
    <row r="12" spans="1:29" x14ac:dyDescent="0.15">
      <c r="A12" s="58">
        <v>1916.26</v>
      </c>
      <c r="B12" s="59" t="s">
        <v>420</v>
      </c>
      <c r="C12" s="59"/>
      <c r="D12" s="59" t="s">
        <v>438</v>
      </c>
      <c r="E12" s="60"/>
      <c r="F12" s="60">
        <v>61000</v>
      </c>
      <c r="G12" s="60"/>
      <c r="H12" s="60"/>
      <c r="I12" s="60"/>
      <c r="J12" s="60"/>
      <c r="K12" s="60">
        <v>62000</v>
      </c>
      <c r="L12" s="60"/>
      <c r="M12" s="60">
        <v>68000</v>
      </c>
      <c r="N12" s="60">
        <v>65000</v>
      </c>
      <c r="O12" s="60"/>
      <c r="P12" s="60"/>
      <c r="Q12" s="60"/>
      <c r="R12" s="60"/>
      <c r="S12" s="435"/>
      <c r="T12" s="60"/>
      <c r="U12" s="445"/>
      <c r="V12" s="60"/>
      <c r="W12" s="60"/>
      <c r="X12" s="60"/>
      <c r="Y12" s="60"/>
      <c r="Z12" s="60"/>
      <c r="AA12" s="60"/>
      <c r="AB12" s="60"/>
      <c r="AC12" s="440"/>
    </row>
    <row r="13" spans="1:29" x14ac:dyDescent="0.15">
      <c r="A13" s="58"/>
      <c r="B13" s="59"/>
      <c r="C13" s="59"/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435"/>
      <c r="T13" s="60"/>
      <c r="U13" s="445"/>
      <c r="V13" s="60"/>
      <c r="W13" s="60"/>
      <c r="X13" s="60"/>
      <c r="Y13" s="60"/>
      <c r="Z13" s="60"/>
      <c r="AA13" s="60"/>
      <c r="AB13" s="60"/>
      <c r="AC13" s="440"/>
    </row>
    <row r="14" spans="1:29" x14ac:dyDescent="0.15">
      <c r="A14" s="58"/>
      <c r="B14" s="59"/>
      <c r="C14" s="59"/>
      <c r="D14" s="59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435"/>
      <c r="T14" s="60"/>
      <c r="U14" s="445"/>
      <c r="V14" s="60"/>
      <c r="W14" s="60"/>
      <c r="X14" s="60"/>
      <c r="Y14" s="60"/>
      <c r="Z14" s="60"/>
      <c r="AA14" s="60"/>
      <c r="AB14" s="60"/>
      <c r="AC14" s="440"/>
    </row>
    <row r="15" spans="1:29" x14ac:dyDescent="0.15">
      <c r="A15" s="58"/>
      <c r="B15" s="59"/>
      <c r="C15" s="59"/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435"/>
      <c r="T15" s="60"/>
      <c r="U15" s="445"/>
      <c r="V15" s="60"/>
      <c r="W15" s="60"/>
      <c r="X15" s="60"/>
      <c r="Y15" s="60"/>
      <c r="Z15" s="60"/>
      <c r="AA15" s="60"/>
      <c r="AB15" s="60"/>
      <c r="AC15" s="440"/>
    </row>
    <row r="16" spans="1:29" x14ac:dyDescent="0.15">
      <c r="A16" s="58"/>
      <c r="B16" s="59"/>
      <c r="C16" s="59"/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435"/>
      <c r="T16" s="60"/>
      <c r="U16" s="445"/>
      <c r="V16" s="60"/>
      <c r="W16" s="60"/>
      <c r="X16" s="60"/>
      <c r="Y16" s="60"/>
      <c r="Z16" s="60"/>
      <c r="AA16" s="60"/>
      <c r="AB16" s="60"/>
      <c r="AC16" s="440"/>
    </row>
    <row r="17" spans="1:29" x14ac:dyDescent="0.15">
      <c r="A17" s="58"/>
      <c r="B17" s="59"/>
      <c r="C17" s="59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435"/>
      <c r="T17" s="60"/>
      <c r="U17" s="445"/>
      <c r="V17" s="60"/>
      <c r="W17" s="60"/>
      <c r="X17" s="60"/>
      <c r="Y17" s="60"/>
      <c r="Z17" s="60"/>
      <c r="AA17" s="60"/>
      <c r="AB17" s="60"/>
      <c r="AC17" s="440"/>
    </row>
    <row r="18" spans="1:29" x14ac:dyDescent="0.15">
      <c r="A18" s="58"/>
      <c r="B18" s="59"/>
      <c r="C18" s="59"/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435"/>
      <c r="T18" s="60"/>
      <c r="U18" s="445"/>
      <c r="V18" s="60"/>
      <c r="W18" s="60"/>
      <c r="X18" s="60"/>
      <c r="Y18" s="60"/>
      <c r="Z18" s="60"/>
      <c r="AA18" s="60"/>
      <c r="AB18" s="60"/>
      <c r="AC18" s="440"/>
    </row>
    <row r="19" spans="1:29" x14ac:dyDescent="0.15">
      <c r="A19" s="58"/>
      <c r="B19" s="59"/>
      <c r="C19" s="59"/>
      <c r="D19" s="59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435"/>
      <c r="T19" s="60"/>
      <c r="U19" s="445"/>
      <c r="V19" s="60"/>
      <c r="W19" s="60"/>
      <c r="X19" s="60"/>
      <c r="Y19" s="60"/>
      <c r="Z19" s="60"/>
      <c r="AA19" s="60"/>
      <c r="AB19" s="60"/>
      <c r="AC19" s="440"/>
    </row>
    <row r="20" spans="1:29" x14ac:dyDescent="0.15">
      <c r="A20" s="58"/>
      <c r="B20" s="59"/>
      <c r="C20" s="59"/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435"/>
      <c r="T20" s="60"/>
      <c r="U20" s="445"/>
      <c r="V20" s="60"/>
      <c r="W20" s="60"/>
      <c r="X20" s="60"/>
      <c r="Y20" s="60"/>
      <c r="Z20" s="60"/>
      <c r="AA20" s="60"/>
      <c r="AB20" s="60"/>
      <c r="AC20" s="440"/>
    </row>
    <row r="21" spans="1:29" x14ac:dyDescent="0.15">
      <c r="A21" s="58"/>
      <c r="B21" s="59"/>
      <c r="C21" s="59"/>
      <c r="D21" s="59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435"/>
      <c r="T21" s="60"/>
      <c r="U21" s="445"/>
      <c r="V21" s="60"/>
      <c r="W21" s="60"/>
      <c r="X21" s="60"/>
      <c r="Y21" s="60"/>
      <c r="Z21" s="60"/>
      <c r="AA21" s="60"/>
      <c r="AB21" s="60"/>
      <c r="AC21" s="440"/>
    </row>
    <row r="22" spans="1:29" x14ac:dyDescent="0.15">
      <c r="A22" s="58"/>
      <c r="B22" s="59"/>
      <c r="C22" s="59"/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435"/>
      <c r="T22" s="60"/>
      <c r="U22" s="445"/>
      <c r="V22" s="60"/>
      <c r="W22" s="60"/>
      <c r="X22" s="60"/>
      <c r="Y22" s="60"/>
      <c r="Z22" s="60"/>
      <c r="AA22" s="60"/>
      <c r="AB22" s="60"/>
      <c r="AC22" s="440"/>
    </row>
    <row r="23" spans="1:29" x14ac:dyDescent="0.15">
      <c r="A23" s="58"/>
      <c r="B23" s="59"/>
      <c r="C23" s="59"/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435"/>
      <c r="T23" s="60"/>
      <c r="U23" s="445"/>
      <c r="V23" s="60"/>
      <c r="W23" s="60"/>
      <c r="X23" s="60"/>
      <c r="Y23" s="60"/>
      <c r="Z23" s="60"/>
      <c r="AA23" s="60"/>
      <c r="AB23" s="60"/>
      <c r="AC23" s="440"/>
    </row>
    <row r="24" spans="1:29" x14ac:dyDescent="0.15">
      <c r="A24" s="58"/>
      <c r="B24" s="59"/>
      <c r="C24" s="59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435"/>
      <c r="T24" s="60"/>
      <c r="U24" s="445"/>
      <c r="V24" s="60"/>
      <c r="W24" s="60"/>
      <c r="X24" s="60"/>
      <c r="Y24" s="60"/>
      <c r="Z24" s="60"/>
      <c r="AA24" s="60"/>
      <c r="AB24" s="60"/>
      <c r="AC24" s="440"/>
    </row>
    <row r="25" spans="1:29" x14ac:dyDescent="0.15">
      <c r="A25" s="58"/>
      <c r="B25" s="59"/>
      <c r="C25" s="59"/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435"/>
      <c r="T25" s="60"/>
      <c r="U25" s="445"/>
      <c r="V25" s="60"/>
      <c r="W25" s="60"/>
      <c r="X25" s="60"/>
      <c r="Y25" s="60"/>
      <c r="Z25" s="60"/>
      <c r="AA25" s="60"/>
      <c r="AB25" s="60"/>
      <c r="AC25" s="440"/>
    </row>
    <row r="26" spans="1:29" x14ac:dyDescent="0.15">
      <c r="A26" s="58"/>
      <c r="B26" s="59"/>
      <c r="C26" s="59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435"/>
      <c r="T26" s="60"/>
      <c r="U26" s="445"/>
      <c r="V26" s="60"/>
      <c r="W26" s="60"/>
      <c r="X26" s="60"/>
      <c r="Y26" s="60"/>
      <c r="Z26" s="60"/>
      <c r="AA26" s="60"/>
      <c r="AB26" s="60"/>
      <c r="AC26" s="440"/>
    </row>
    <row r="27" spans="1:29" x14ac:dyDescent="0.15">
      <c r="A27" s="58"/>
      <c r="B27" s="59"/>
      <c r="C27" s="59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435"/>
      <c r="T27" s="60"/>
      <c r="U27" s="445"/>
      <c r="V27" s="60"/>
      <c r="W27" s="60"/>
      <c r="X27" s="60"/>
      <c r="Y27" s="60"/>
      <c r="Z27" s="60"/>
      <c r="AA27" s="60"/>
      <c r="AB27" s="60"/>
      <c r="AC27" s="440"/>
    </row>
    <row r="28" spans="1:29" x14ac:dyDescent="0.15">
      <c r="A28" s="58"/>
      <c r="B28" s="59"/>
      <c r="C28" s="59"/>
      <c r="D28" s="59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435"/>
      <c r="T28" s="60"/>
      <c r="U28" s="445"/>
      <c r="V28" s="60"/>
      <c r="W28" s="60"/>
      <c r="X28" s="60"/>
      <c r="Y28" s="60"/>
      <c r="Z28" s="60"/>
      <c r="AA28" s="60"/>
      <c r="AB28" s="60"/>
      <c r="AC28" s="440"/>
    </row>
    <row r="29" spans="1:29" x14ac:dyDescent="0.15">
      <c r="A29" s="58"/>
      <c r="B29" s="59"/>
      <c r="C29" s="59"/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435"/>
      <c r="T29" s="60"/>
      <c r="U29" s="445"/>
      <c r="V29" s="60"/>
      <c r="W29" s="60"/>
      <c r="X29" s="60"/>
      <c r="Y29" s="60"/>
      <c r="Z29" s="60"/>
      <c r="AA29" s="60"/>
      <c r="AB29" s="60"/>
      <c r="AC29" s="440"/>
    </row>
    <row r="30" spans="1:29" x14ac:dyDescent="0.15">
      <c r="A30" s="58"/>
      <c r="B30" s="59"/>
      <c r="C30" s="59"/>
      <c r="D30" s="59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435"/>
      <c r="T30" s="60"/>
      <c r="U30" s="445"/>
      <c r="V30" s="60"/>
      <c r="W30" s="60"/>
      <c r="X30" s="60"/>
      <c r="Y30" s="60"/>
      <c r="Z30" s="60"/>
      <c r="AA30" s="60"/>
      <c r="AB30" s="60"/>
      <c r="AC30" s="440"/>
    </row>
    <row r="31" spans="1:29" x14ac:dyDescent="0.15">
      <c r="A31" s="58"/>
      <c r="B31" s="59"/>
      <c r="C31" s="59"/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435"/>
      <c r="T31" s="60"/>
      <c r="U31" s="445"/>
      <c r="V31" s="60"/>
      <c r="W31" s="60"/>
      <c r="X31" s="60"/>
      <c r="Y31" s="60"/>
      <c r="Z31" s="60"/>
      <c r="AA31" s="60"/>
      <c r="AB31" s="60"/>
      <c r="AC31" s="440"/>
    </row>
    <row r="32" spans="1:29" x14ac:dyDescent="0.15">
      <c r="A32" s="58"/>
      <c r="B32" s="59"/>
      <c r="C32" s="59"/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435"/>
      <c r="T32" s="60"/>
      <c r="U32" s="445"/>
      <c r="V32" s="60"/>
      <c r="W32" s="60"/>
      <c r="X32" s="60"/>
      <c r="Y32" s="60"/>
      <c r="Z32" s="60"/>
      <c r="AA32" s="60"/>
      <c r="AB32" s="60"/>
      <c r="AC32" s="440"/>
    </row>
    <row r="33" spans="1:29" x14ac:dyDescent="0.15">
      <c r="A33" s="58"/>
      <c r="B33" s="59"/>
      <c r="C33" s="59"/>
      <c r="D33" s="59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435"/>
      <c r="T33" s="60"/>
      <c r="U33" s="445"/>
      <c r="V33" s="60"/>
      <c r="W33" s="60"/>
      <c r="X33" s="60"/>
      <c r="Y33" s="60"/>
      <c r="Z33" s="60"/>
      <c r="AA33" s="60"/>
      <c r="AB33" s="60"/>
      <c r="AC33" s="440"/>
    </row>
    <row r="34" spans="1:29" x14ac:dyDescent="0.15">
      <c r="A34" s="58"/>
      <c r="B34" s="59"/>
      <c r="C34" s="59"/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435"/>
      <c r="T34" s="60"/>
      <c r="U34" s="445"/>
      <c r="V34" s="60"/>
      <c r="W34" s="60"/>
      <c r="X34" s="60"/>
      <c r="Y34" s="60"/>
      <c r="Z34" s="60"/>
      <c r="AA34" s="60"/>
      <c r="AB34" s="60"/>
      <c r="AC34" s="440"/>
    </row>
    <row r="35" spans="1:29" x14ac:dyDescent="0.15">
      <c r="A35" s="58"/>
      <c r="B35" s="59"/>
      <c r="C35" s="59"/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435"/>
      <c r="T35" s="60"/>
      <c r="U35" s="445"/>
      <c r="V35" s="60"/>
      <c r="W35" s="60"/>
      <c r="X35" s="60"/>
      <c r="Y35" s="60"/>
      <c r="Z35" s="60"/>
      <c r="AA35" s="60"/>
      <c r="AB35" s="60"/>
      <c r="AC35" s="440"/>
    </row>
    <row r="36" spans="1:29" x14ac:dyDescent="0.15">
      <c r="A36" s="58"/>
      <c r="B36" s="59"/>
      <c r="C36" s="59"/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435"/>
      <c r="T36" s="60"/>
      <c r="U36" s="445"/>
      <c r="V36" s="60"/>
      <c r="W36" s="60"/>
      <c r="X36" s="60"/>
      <c r="Y36" s="60"/>
      <c r="Z36" s="60"/>
      <c r="AA36" s="60"/>
      <c r="AB36" s="60"/>
      <c r="AC36" s="440"/>
    </row>
    <row r="37" spans="1:29" x14ac:dyDescent="0.15">
      <c r="A37" s="58"/>
      <c r="B37" s="59"/>
      <c r="C37" s="59"/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435"/>
      <c r="T37" s="60"/>
      <c r="U37" s="445"/>
      <c r="V37" s="60"/>
      <c r="W37" s="60"/>
      <c r="X37" s="60"/>
      <c r="Y37" s="60"/>
      <c r="Z37" s="60"/>
      <c r="AA37" s="60"/>
      <c r="AB37" s="60"/>
      <c r="AC37" s="440"/>
    </row>
    <row r="38" spans="1:29" x14ac:dyDescent="0.15">
      <c r="A38" s="58"/>
      <c r="B38" s="59"/>
      <c r="C38" s="59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435"/>
      <c r="T38" s="60"/>
      <c r="U38" s="445"/>
      <c r="V38" s="60"/>
      <c r="W38" s="60"/>
      <c r="X38" s="60"/>
      <c r="Y38" s="60"/>
      <c r="Z38" s="60"/>
      <c r="AA38" s="60"/>
      <c r="AB38" s="60"/>
      <c r="AC38" s="440"/>
    </row>
    <row r="39" spans="1:29" x14ac:dyDescent="0.15">
      <c r="A39" s="58"/>
      <c r="B39" s="59"/>
      <c r="C39" s="59"/>
      <c r="D39" s="59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435"/>
      <c r="T39" s="60"/>
      <c r="U39" s="445"/>
      <c r="V39" s="60"/>
      <c r="W39" s="60"/>
      <c r="X39" s="60"/>
      <c r="Y39" s="60"/>
      <c r="Z39" s="60"/>
      <c r="AA39" s="60"/>
      <c r="AB39" s="60"/>
      <c r="AC39" s="440"/>
    </row>
    <row r="40" spans="1:29" x14ac:dyDescent="0.15">
      <c r="A40" s="58"/>
      <c r="B40" s="59"/>
      <c r="C40" s="59"/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435"/>
      <c r="T40" s="60"/>
      <c r="U40" s="445"/>
      <c r="V40" s="60"/>
      <c r="W40" s="60"/>
      <c r="X40" s="60"/>
      <c r="Y40" s="60"/>
      <c r="Z40" s="60"/>
      <c r="AA40" s="60"/>
      <c r="AB40" s="60"/>
      <c r="AC40" s="440"/>
    </row>
    <row r="41" spans="1:29" x14ac:dyDescent="0.15">
      <c r="A41" s="58"/>
      <c r="B41" s="59"/>
      <c r="C41" s="59"/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435"/>
      <c r="T41" s="60"/>
      <c r="U41" s="445"/>
      <c r="V41" s="60"/>
      <c r="W41" s="60"/>
      <c r="X41" s="60"/>
      <c r="Y41" s="60"/>
      <c r="Z41" s="60"/>
      <c r="AA41" s="60"/>
      <c r="AB41" s="60"/>
      <c r="AC41" s="440"/>
    </row>
    <row r="42" spans="1:29" x14ac:dyDescent="0.15">
      <c r="A42" s="58"/>
      <c r="B42" s="59"/>
      <c r="C42" s="59"/>
      <c r="D42" s="5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435"/>
      <c r="T42" s="60"/>
      <c r="U42" s="445"/>
      <c r="V42" s="60"/>
      <c r="W42" s="60"/>
      <c r="X42" s="60"/>
      <c r="Y42" s="60"/>
      <c r="Z42" s="60"/>
      <c r="AA42" s="60"/>
      <c r="AB42" s="60"/>
      <c r="AC42" s="440"/>
    </row>
    <row r="43" spans="1:29" x14ac:dyDescent="0.15">
      <c r="A43" s="58"/>
      <c r="B43" s="59"/>
      <c r="C43" s="59"/>
      <c r="D43" s="59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435"/>
      <c r="T43" s="60"/>
      <c r="U43" s="445"/>
      <c r="V43" s="60"/>
      <c r="W43" s="60"/>
      <c r="X43" s="60"/>
      <c r="Y43" s="60"/>
      <c r="Z43" s="60"/>
      <c r="AA43" s="60"/>
      <c r="AB43" s="60"/>
      <c r="AC43" s="440"/>
    </row>
    <row r="44" spans="1:29" x14ac:dyDescent="0.15">
      <c r="A44" s="58"/>
      <c r="B44" s="59"/>
      <c r="C44" s="59"/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435"/>
      <c r="T44" s="60"/>
      <c r="U44" s="445"/>
      <c r="V44" s="60"/>
      <c r="W44" s="60"/>
      <c r="X44" s="60"/>
      <c r="Y44" s="60"/>
      <c r="Z44" s="60"/>
      <c r="AA44" s="60"/>
      <c r="AB44" s="60"/>
      <c r="AC44" s="440"/>
    </row>
    <row r="45" spans="1:29" x14ac:dyDescent="0.15">
      <c r="A45" s="58"/>
      <c r="B45" s="59"/>
      <c r="C45" s="59"/>
      <c r="D45" s="59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435"/>
      <c r="T45" s="60"/>
      <c r="U45" s="445"/>
      <c r="V45" s="60"/>
      <c r="W45" s="60"/>
      <c r="X45" s="60"/>
      <c r="Y45" s="60"/>
      <c r="Z45" s="60"/>
      <c r="AA45" s="60"/>
      <c r="AB45" s="60"/>
      <c r="AC45" s="440"/>
    </row>
    <row r="46" spans="1:29" x14ac:dyDescent="0.15">
      <c r="A46" s="58"/>
      <c r="B46" s="59"/>
      <c r="C46" s="59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435"/>
      <c r="T46" s="60"/>
      <c r="U46" s="445"/>
      <c r="V46" s="60"/>
      <c r="W46" s="60"/>
      <c r="X46" s="60"/>
      <c r="Y46" s="60"/>
      <c r="Z46" s="60"/>
      <c r="AA46" s="60"/>
      <c r="AB46" s="60"/>
      <c r="AC46" s="440"/>
    </row>
    <row r="47" spans="1:29" x14ac:dyDescent="0.15">
      <c r="A47" s="58"/>
      <c r="B47" s="59"/>
      <c r="C47" s="59"/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435"/>
      <c r="T47" s="60"/>
      <c r="U47" s="445"/>
      <c r="V47" s="60"/>
      <c r="W47" s="60"/>
      <c r="X47" s="60"/>
      <c r="Y47" s="60"/>
      <c r="Z47" s="60"/>
      <c r="AA47" s="60"/>
      <c r="AB47" s="60"/>
      <c r="AC47" s="440"/>
    </row>
    <row r="48" spans="1:29" x14ac:dyDescent="0.15">
      <c r="A48" s="58"/>
      <c r="B48" s="59"/>
      <c r="C48" s="59"/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435"/>
      <c r="T48" s="60"/>
      <c r="U48" s="445"/>
      <c r="V48" s="60"/>
      <c r="W48" s="60"/>
      <c r="X48" s="60"/>
      <c r="Y48" s="60"/>
      <c r="Z48" s="60"/>
      <c r="AA48" s="60"/>
      <c r="AB48" s="60"/>
      <c r="AC48" s="440"/>
    </row>
    <row r="49" spans="1:29" x14ac:dyDescent="0.15">
      <c r="A49" s="58"/>
      <c r="B49" s="59"/>
      <c r="C49" s="59"/>
      <c r="D49" s="59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435"/>
      <c r="T49" s="60"/>
      <c r="U49" s="445"/>
      <c r="V49" s="60"/>
      <c r="W49" s="60"/>
      <c r="X49" s="60"/>
      <c r="Y49" s="60"/>
      <c r="Z49" s="60"/>
      <c r="AA49" s="60"/>
      <c r="AB49" s="60"/>
      <c r="AC49" s="440"/>
    </row>
    <row r="50" spans="1:29" x14ac:dyDescent="0.15">
      <c r="A50" s="58"/>
      <c r="B50" s="59"/>
      <c r="C50" s="59"/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435"/>
      <c r="T50" s="60"/>
      <c r="U50" s="445"/>
      <c r="V50" s="60"/>
      <c r="W50" s="60"/>
      <c r="X50" s="60"/>
      <c r="Y50" s="60"/>
      <c r="Z50" s="60"/>
      <c r="AA50" s="60"/>
      <c r="AB50" s="60"/>
      <c r="AC50" s="440"/>
    </row>
    <row r="51" spans="1:29" x14ac:dyDescent="0.15">
      <c r="A51" s="58"/>
      <c r="B51" s="59"/>
      <c r="C51" s="59"/>
      <c r="D51" s="59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435"/>
      <c r="T51" s="60"/>
      <c r="U51" s="445"/>
      <c r="V51" s="60"/>
      <c r="W51" s="60"/>
      <c r="X51" s="60"/>
      <c r="Y51" s="60"/>
      <c r="Z51" s="60"/>
      <c r="AA51" s="60"/>
      <c r="AB51" s="60"/>
      <c r="AC51" s="440"/>
    </row>
    <row r="52" spans="1:29" x14ac:dyDescent="0.15">
      <c r="A52" s="58"/>
      <c r="B52" s="59"/>
      <c r="C52" s="59"/>
      <c r="D52" s="59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435"/>
      <c r="T52" s="60"/>
      <c r="U52" s="445"/>
      <c r="V52" s="60"/>
      <c r="W52" s="60"/>
      <c r="X52" s="60"/>
      <c r="Y52" s="60"/>
      <c r="Z52" s="60"/>
      <c r="AA52" s="60"/>
      <c r="AB52" s="60"/>
      <c r="AC52" s="440"/>
    </row>
    <row r="53" spans="1:29" x14ac:dyDescent="0.15">
      <c r="A53" s="58"/>
      <c r="B53" s="59"/>
      <c r="C53" s="59"/>
      <c r="D53" s="59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435"/>
      <c r="T53" s="60"/>
      <c r="U53" s="445"/>
      <c r="V53" s="60"/>
      <c r="W53" s="60"/>
      <c r="X53" s="60"/>
      <c r="Y53" s="60"/>
      <c r="Z53" s="60"/>
      <c r="AA53" s="60"/>
      <c r="AB53" s="60"/>
      <c r="AC53" s="440"/>
    </row>
    <row r="54" spans="1:29" x14ac:dyDescent="0.15">
      <c r="A54" s="58"/>
      <c r="B54" s="59"/>
      <c r="C54" s="59"/>
      <c r="D54" s="59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435"/>
      <c r="T54" s="60"/>
      <c r="U54" s="445"/>
      <c r="V54" s="60"/>
      <c r="W54" s="60"/>
      <c r="X54" s="60"/>
      <c r="Y54" s="60"/>
      <c r="Z54" s="60"/>
      <c r="AA54" s="60"/>
      <c r="AB54" s="60"/>
      <c r="AC54" s="440"/>
    </row>
    <row r="55" spans="1:29" x14ac:dyDescent="0.15">
      <c r="A55" s="58"/>
      <c r="B55" s="59"/>
      <c r="C55" s="59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435"/>
      <c r="T55" s="60"/>
      <c r="U55" s="445"/>
      <c r="V55" s="60"/>
      <c r="W55" s="60"/>
      <c r="X55" s="60"/>
      <c r="Y55" s="60"/>
      <c r="Z55" s="60"/>
      <c r="AA55" s="60"/>
      <c r="AB55" s="60"/>
      <c r="AC55" s="440"/>
    </row>
    <row r="56" spans="1:29" x14ac:dyDescent="0.15">
      <c r="A56" s="58"/>
      <c r="B56" s="59"/>
      <c r="C56" s="59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435"/>
      <c r="T56" s="60"/>
      <c r="U56" s="445"/>
      <c r="V56" s="60"/>
      <c r="W56" s="60"/>
      <c r="X56" s="60"/>
      <c r="Y56" s="60"/>
      <c r="Z56" s="60"/>
      <c r="AA56" s="60"/>
      <c r="AB56" s="60"/>
      <c r="AC56" s="440"/>
    </row>
    <row r="57" spans="1:29" x14ac:dyDescent="0.15">
      <c r="A57" s="58"/>
      <c r="B57" s="59"/>
      <c r="C57" s="59"/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435"/>
      <c r="T57" s="60"/>
      <c r="U57" s="445"/>
      <c r="V57" s="60"/>
      <c r="W57" s="60"/>
      <c r="X57" s="60"/>
      <c r="Y57" s="60"/>
      <c r="Z57" s="60"/>
      <c r="AA57" s="60"/>
      <c r="AB57" s="60"/>
      <c r="AC57" s="440"/>
    </row>
    <row r="58" spans="1:29" x14ac:dyDescent="0.15">
      <c r="A58" s="58"/>
      <c r="B58" s="59"/>
      <c r="C58" s="59"/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435"/>
      <c r="T58" s="60"/>
      <c r="U58" s="445"/>
      <c r="V58" s="60"/>
      <c r="W58" s="60"/>
      <c r="X58" s="60"/>
      <c r="Y58" s="60"/>
      <c r="Z58" s="60"/>
      <c r="AA58" s="60"/>
      <c r="AB58" s="60"/>
      <c r="AC58" s="440"/>
    </row>
    <row r="59" spans="1:29" x14ac:dyDescent="0.15">
      <c r="A59" s="58"/>
      <c r="B59" s="59"/>
      <c r="C59" s="59"/>
      <c r="D59" s="59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435"/>
      <c r="T59" s="60"/>
      <c r="U59" s="445"/>
      <c r="V59" s="60"/>
      <c r="W59" s="60"/>
      <c r="X59" s="60"/>
      <c r="Y59" s="60"/>
      <c r="Z59" s="60"/>
      <c r="AA59" s="60"/>
      <c r="AB59" s="60"/>
      <c r="AC59" s="440"/>
    </row>
    <row r="60" spans="1:29" x14ac:dyDescent="0.15">
      <c r="A60" s="58"/>
      <c r="B60" s="59"/>
      <c r="C60" s="59"/>
      <c r="D60" s="59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435"/>
      <c r="T60" s="60"/>
      <c r="U60" s="445"/>
      <c r="V60" s="60"/>
      <c r="W60" s="60"/>
      <c r="X60" s="60"/>
      <c r="Y60" s="60"/>
      <c r="Z60" s="60"/>
      <c r="AA60" s="60"/>
      <c r="AB60" s="60"/>
      <c r="AC60" s="440"/>
    </row>
    <row r="61" spans="1:29" x14ac:dyDescent="0.15">
      <c r="A61" s="58"/>
      <c r="B61" s="59"/>
      <c r="C61" s="59"/>
      <c r="D61" s="59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435"/>
      <c r="T61" s="60"/>
      <c r="U61" s="445"/>
      <c r="V61" s="60"/>
      <c r="W61" s="60"/>
      <c r="X61" s="60"/>
      <c r="Y61" s="60"/>
      <c r="Z61" s="60"/>
      <c r="AA61" s="60"/>
      <c r="AB61" s="60"/>
      <c r="AC61" s="440"/>
    </row>
    <row r="62" spans="1:29" x14ac:dyDescent="0.15">
      <c r="A62" s="58"/>
      <c r="B62" s="59"/>
      <c r="C62" s="59"/>
      <c r="D62" s="59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435"/>
      <c r="T62" s="60"/>
      <c r="U62" s="445"/>
      <c r="V62" s="60"/>
      <c r="W62" s="60"/>
      <c r="X62" s="60"/>
      <c r="Y62" s="60"/>
      <c r="Z62" s="60"/>
      <c r="AA62" s="60"/>
      <c r="AB62" s="60"/>
      <c r="AC62" s="440"/>
    </row>
    <row r="63" spans="1:29" x14ac:dyDescent="0.15">
      <c r="A63" s="58"/>
      <c r="B63" s="59"/>
      <c r="C63" s="59"/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435"/>
      <c r="T63" s="60"/>
      <c r="U63" s="445"/>
      <c r="V63" s="60"/>
      <c r="W63" s="60"/>
      <c r="X63" s="60"/>
      <c r="Y63" s="60"/>
      <c r="Z63" s="60"/>
      <c r="AA63" s="60"/>
      <c r="AB63" s="60"/>
      <c r="AC63" s="440"/>
    </row>
    <row r="64" spans="1:29" x14ac:dyDescent="0.15">
      <c r="A64" s="58"/>
      <c r="B64" s="59"/>
      <c r="C64" s="59"/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435"/>
      <c r="T64" s="60"/>
      <c r="U64" s="445"/>
      <c r="V64" s="60"/>
      <c r="W64" s="60"/>
      <c r="X64" s="60"/>
      <c r="Y64" s="60"/>
      <c r="Z64" s="60"/>
      <c r="AA64" s="60"/>
      <c r="AB64" s="60"/>
      <c r="AC64" s="440"/>
    </row>
    <row r="65" spans="1:29" x14ac:dyDescent="0.15">
      <c r="A65" s="58"/>
      <c r="B65" s="59"/>
      <c r="C65" s="59"/>
      <c r="D65" s="59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435"/>
      <c r="T65" s="60"/>
      <c r="U65" s="445"/>
      <c r="V65" s="60"/>
      <c r="W65" s="60"/>
      <c r="X65" s="60"/>
      <c r="Y65" s="60"/>
      <c r="Z65" s="60"/>
      <c r="AA65" s="60"/>
      <c r="AB65" s="60"/>
      <c r="AC65" s="440"/>
    </row>
    <row r="66" spans="1:29" x14ac:dyDescent="0.15">
      <c r="A66" s="58"/>
      <c r="B66" s="59"/>
      <c r="C66" s="59"/>
      <c r="D66" s="59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435"/>
      <c r="T66" s="60"/>
      <c r="U66" s="445"/>
      <c r="V66" s="60"/>
      <c r="W66" s="60"/>
      <c r="X66" s="60"/>
      <c r="Y66" s="60"/>
      <c r="Z66" s="60"/>
      <c r="AA66" s="60"/>
      <c r="AB66" s="60"/>
      <c r="AC66" s="440"/>
    </row>
    <row r="67" spans="1:29" x14ac:dyDescent="0.15">
      <c r="A67" s="58"/>
      <c r="B67" s="59"/>
      <c r="C67" s="59"/>
      <c r="D67" s="59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435"/>
      <c r="T67" s="60"/>
      <c r="U67" s="445"/>
      <c r="V67" s="60"/>
      <c r="W67" s="60"/>
      <c r="X67" s="60"/>
      <c r="Y67" s="60"/>
      <c r="Z67" s="60"/>
      <c r="AA67" s="60"/>
      <c r="AB67" s="60"/>
      <c r="AC67" s="440"/>
    </row>
    <row r="68" spans="1:29" x14ac:dyDescent="0.15">
      <c r="A68" s="58"/>
      <c r="B68" s="59"/>
      <c r="C68" s="59"/>
      <c r="D68" s="59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435"/>
      <c r="T68" s="60"/>
      <c r="U68" s="445"/>
      <c r="V68" s="60"/>
      <c r="W68" s="60"/>
      <c r="X68" s="60"/>
      <c r="Y68" s="60"/>
      <c r="Z68" s="60"/>
      <c r="AA68" s="60"/>
      <c r="AB68" s="60"/>
      <c r="AC68" s="440"/>
    </row>
    <row r="69" spans="1:29" x14ac:dyDescent="0.15">
      <c r="A69" s="58"/>
      <c r="B69" s="59"/>
      <c r="C69" s="59"/>
      <c r="D69" s="59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435"/>
      <c r="T69" s="60"/>
      <c r="U69" s="445"/>
      <c r="V69" s="60"/>
      <c r="W69" s="60"/>
      <c r="X69" s="60"/>
      <c r="Y69" s="60"/>
      <c r="Z69" s="60"/>
      <c r="AA69" s="60"/>
      <c r="AB69" s="60"/>
      <c r="AC69" s="440"/>
    </row>
    <row r="70" spans="1:29" x14ac:dyDescent="0.15">
      <c r="A70" s="58"/>
      <c r="B70" s="59"/>
      <c r="C70" s="59"/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435"/>
      <c r="T70" s="60"/>
      <c r="U70" s="445"/>
      <c r="V70" s="60"/>
      <c r="W70" s="60"/>
      <c r="X70" s="60"/>
      <c r="Y70" s="60"/>
      <c r="Z70" s="60"/>
      <c r="AA70" s="60"/>
      <c r="AB70" s="60"/>
      <c r="AC70" s="440"/>
    </row>
    <row r="71" spans="1:29" x14ac:dyDescent="0.15">
      <c r="A71" s="58"/>
      <c r="B71" s="59"/>
      <c r="C71" s="59"/>
      <c r="D71" s="59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435"/>
      <c r="T71" s="60"/>
      <c r="U71" s="445"/>
      <c r="V71" s="60"/>
      <c r="W71" s="60"/>
      <c r="X71" s="60"/>
      <c r="Y71" s="60"/>
      <c r="Z71" s="60"/>
      <c r="AA71" s="60"/>
      <c r="AB71" s="60"/>
      <c r="AC71" s="440"/>
    </row>
    <row r="72" spans="1:29" x14ac:dyDescent="0.15">
      <c r="A72" s="58"/>
      <c r="B72" s="59"/>
      <c r="C72" s="59"/>
      <c r="D72" s="59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435"/>
      <c r="T72" s="60"/>
      <c r="U72" s="445"/>
      <c r="V72" s="60"/>
      <c r="W72" s="60"/>
      <c r="X72" s="60"/>
      <c r="Y72" s="60"/>
      <c r="Z72" s="60"/>
      <c r="AA72" s="60"/>
      <c r="AB72" s="60"/>
      <c r="AC72" s="440"/>
    </row>
    <row r="73" spans="1:29" x14ac:dyDescent="0.15">
      <c r="A73" s="58"/>
      <c r="B73" s="59"/>
      <c r="C73" s="59"/>
      <c r="D73" s="59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435"/>
      <c r="T73" s="60"/>
      <c r="U73" s="445"/>
      <c r="V73" s="60"/>
      <c r="W73" s="60"/>
      <c r="X73" s="60"/>
      <c r="Y73" s="60"/>
      <c r="Z73" s="60"/>
      <c r="AA73" s="60"/>
      <c r="AB73" s="60"/>
      <c r="AC73" s="440"/>
    </row>
    <row r="74" spans="1:29" x14ac:dyDescent="0.15">
      <c r="A74" s="58"/>
      <c r="B74" s="59"/>
      <c r="C74" s="59"/>
      <c r="D74" s="59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435"/>
      <c r="T74" s="60"/>
      <c r="U74" s="445"/>
      <c r="V74" s="60"/>
      <c r="W74" s="60"/>
      <c r="X74" s="60"/>
      <c r="Y74" s="60"/>
      <c r="Z74" s="60"/>
      <c r="AA74" s="60"/>
      <c r="AB74" s="60"/>
      <c r="AC74" s="440"/>
    </row>
    <row r="75" spans="1:29" x14ac:dyDescent="0.15">
      <c r="A75" s="58"/>
      <c r="B75" s="59"/>
      <c r="C75" s="59"/>
      <c r="D75" s="59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435"/>
      <c r="T75" s="60"/>
      <c r="U75" s="445"/>
      <c r="V75" s="60"/>
      <c r="W75" s="60"/>
      <c r="X75" s="60"/>
      <c r="Y75" s="60"/>
      <c r="Z75" s="60"/>
      <c r="AA75" s="60"/>
      <c r="AB75" s="60"/>
      <c r="AC75" s="440"/>
    </row>
    <row r="76" spans="1:29" x14ac:dyDescent="0.15">
      <c r="A76" s="58"/>
      <c r="B76" s="59"/>
      <c r="C76" s="59"/>
      <c r="D76" s="59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435"/>
      <c r="T76" s="60"/>
      <c r="U76" s="445"/>
      <c r="V76" s="60"/>
      <c r="W76" s="60"/>
      <c r="X76" s="60"/>
      <c r="Y76" s="60"/>
      <c r="Z76" s="60"/>
      <c r="AA76" s="60"/>
      <c r="AB76" s="60"/>
      <c r="AC76" s="440"/>
    </row>
    <row r="77" spans="1:29" x14ac:dyDescent="0.15">
      <c r="A77" s="58"/>
      <c r="B77" s="59"/>
      <c r="C77" s="59"/>
      <c r="D77" s="59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435"/>
      <c r="T77" s="60"/>
      <c r="U77" s="445"/>
      <c r="V77" s="60"/>
      <c r="W77" s="60"/>
      <c r="X77" s="60"/>
      <c r="Y77" s="60"/>
      <c r="Z77" s="60"/>
      <c r="AA77" s="60"/>
      <c r="AB77" s="60"/>
      <c r="AC77" s="440"/>
    </row>
    <row r="78" spans="1:29" x14ac:dyDescent="0.15">
      <c r="A78" s="58"/>
      <c r="B78" s="59"/>
      <c r="C78" s="59"/>
      <c r="D78" s="59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435"/>
      <c r="T78" s="60"/>
      <c r="U78" s="445"/>
      <c r="V78" s="60"/>
      <c r="W78" s="60"/>
      <c r="X78" s="60"/>
      <c r="Y78" s="60"/>
      <c r="Z78" s="60"/>
      <c r="AA78" s="60"/>
      <c r="AB78" s="60"/>
      <c r="AC78" s="440"/>
    </row>
    <row r="79" spans="1:29" x14ac:dyDescent="0.15">
      <c r="A79" s="58"/>
      <c r="B79" s="59"/>
      <c r="C79" s="59"/>
      <c r="D79" s="59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435"/>
      <c r="T79" s="60"/>
      <c r="U79" s="445"/>
      <c r="V79" s="60"/>
      <c r="W79" s="60"/>
      <c r="X79" s="60"/>
      <c r="Y79" s="60"/>
      <c r="Z79" s="60"/>
      <c r="AA79" s="60"/>
      <c r="AB79" s="60"/>
      <c r="AC79" s="440"/>
    </row>
    <row r="80" spans="1:29" x14ac:dyDescent="0.15">
      <c r="A80" s="58"/>
      <c r="B80" s="59"/>
      <c r="C80" s="59"/>
      <c r="D80" s="59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435"/>
      <c r="T80" s="60"/>
      <c r="U80" s="445"/>
      <c r="V80" s="60"/>
      <c r="W80" s="60"/>
      <c r="X80" s="60"/>
      <c r="Y80" s="60"/>
      <c r="Z80" s="60"/>
      <c r="AA80" s="60"/>
      <c r="AB80" s="60"/>
      <c r="AC80" s="440"/>
    </row>
    <row r="81" spans="1:29" x14ac:dyDescent="0.15">
      <c r="A81" s="58"/>
      <c r="B81" s="59"/>
      <c r="C81" s="59"/>
      <c r="D81" s="59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435"/>
      <c r="T81" s="60"/>
      <c r="U81" s="445"/>
      <c r="V81" s="60"/>
      <c r="W81" s="60"/>
      <c r="X81" s="60"/>
      <c r="Y81" s="60"/>
      <c r="Z81" s="60"/>
      <c r="AA81" s="60"/>
      <c r="AB81" s="60"/>
      <c r="AC81" s="440"/>
    </row>
    <row r="82" spans="1:29" x14ac:dyDescent="0.15">
      <c r="A82" s="58"/>
      <c r="B82" s="59"/>
      <c r="C82" s="59"/>
      <c r="D82" s="59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435"/>
      <c r="T82" s="60"/>
      <c r="U82" s="445"/>
      <c r="V82" s="60"/>
      <c r="W82" s="60"/>
      <c r="X82" s="60"/>
      <c r="Y82" s="60"/>
      <c r="Z82" s="60"/>
      <c r="AA82" s="60"/>
      <c r="AB82" s="60"/>
      <c r="AC82" s="440"/>
    </row>
    <row r="83" spans="1:29" x14ac:dyDescent="0.15">
      <c r="A83" s="58"/>
      <c r="B83" s="59"/>
      <c r="C83" s="59"/>
      <c r="D83" s="59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435"/>
      <c r="T83" s="60"/>
      <c r="U83" s="445"/>
      <c r="V83" s="60"/>
      <c r="W83" s="60"/>
      <c r="X83" s="60"/>
      <c r="Y83" s="60"/>
      <c r="Z83" s="60"/>
      <c r="AA83" s="60"/>
      <c r="AB83" s="60"/>
      <c r="AC83" s="440"/>
    </row>
    <row r="84" spans="1:29" x14ac:dyDescent="0.15">
      <c r="A84" s="58"/>
      <c r="B84" s="59"/>
      <c r="C84" s="59"/>
      <c r="D84" s="59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435"/>
      <c r="T84" s="60"/>
      <c r="U84" s="445"/>
      <c r="V84" s="60"/>
      <c r="W84" s="60"/>
      <c r="X84" s="60"/>
      <c r="Y84" s="60"/>
      <c r="Z84" s="60"/>
      <c r="AA84" s="60"/>
      <c r="AB84" s="60"/>
      <c r="AC84" s="440"/>
    </row>
    <row r="85" spans="1:29" x14ac:dyDescent="0.15">
      <c r="A85" s="58"/>
      <c r="B85" s="59"/>
      <c r="C85" s="59"/>
      <c r="D85" s="59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435"/>
      <c r="T85" s="60"/>
      <c r="U85" s="445"/>
      <c r="V85" s="60"/>
      <c r="W85" s="60"/>
      <c r="X85" s="60"/>
      <c r="Y85" s="60"/>
      <c r="Z85" s="60"/>
      <c r="AA85" s="60"/>
      <c r="AB85" s="60"/>
      <c r="AC85" s="440"/>
    </row>
    <row r="86" spans="1:29" x14ac:dyDescent="0.15">
      <c r="A86" s="58"/>
      <c r="B86" s="59"/>
      <c r="C86" s="59"/>
      <c r="D86" s="59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435"/>
      <c r="T86" s="60"/>
      <c r="U86" s="445"/>
      <c r="V86" s="60"/>
      <c r="W86" s="60"/>
      <c r="X86" s="60"/>
      <c r="Y86" s="60"/>
      <c r="Z86" s="60"/>
      <c r="AA86" s="60"/>
      <c r="AB86" s="60"/>
      <c r="AC86" s="440"/>
    </row>
    <row r="87" spans="1:29" x14ac:dyDescent="0.15">
      <c r="A87" s="58"/>
      <c r="B87" s="59"/>
      <c r="C87" s="59"/>
      <c r="D87" s="59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435"/>
      <c r="T87" s="60"/>
      <c r="U87" s="445"/>
      <c r="V87" s="60"/>
      <c r="W87" s="60"/>
      <c r="X87" s="60"/>
      <c r="Y87" s="60"/>
      <c r="Z87" s="60"/>
      <c r="AA87" s="60"/>
      <c r="AB87" s="60"/>
      <c r="AC87" s="440"/>
    </row>
    <row r="88" spans="1:29" x14ac:dyDescent="0.15">
      <c r="A88" s="58"/>
      <c r="B88" s="59"/>
      <c r="C88" s="59"/>
      <c r="D88" s="59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435"/>
      <c r="T88" s="60"/>
      <c r="U88" s="445"/>
      <c r="V88" s="60"/>
      <c r="W88" s="60"/>
      <c r="X88" s="60"/>
      <c r="Y88" s="60"/>
      <c r="Z88" s="60"/>
      <c r="AA88" s="60"/>
      <c r="AB88" s="60"/>
      <c r="AC88" s="440"/>
    </row>
    <row r="89" spans="1:29" x14ac:dyDescent="0.15">
      <c r="A89" s="58"/>
      <c r="B89" s="59"/>
      <c r="C89" s="59"/>
      <c r="D89" s="59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435"/>
      <c r="T89" s="60"/>
      <c r="U89" s="445"/>
      <c r="V89" s="60"/>
      <c r="W89" s="60"/>
      <c r="X89" s="60"/>
      <c r="Y89" s="60"/>
      <c r="Z89" s="60"/>
      <c r="AA89" s="60"/>
      <c r="AB89" s="60"/>
      <c r="AC89" s="440"/>
    </row>
    <row r="90" spans="1:29" x14ac:dyDescent="0.15">
      <c r="A90" s="58"/>
      <c r="B90" s="59"/>
      <c r="C90" s="59"/>
      <c r="D90" s="59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435"/>
      <c r="T90" s="60"/>
      <c r="U90" s="445"/>
      <c r="V90" s="60"/>
      <c r="W90" s="60"/>
      <c r="X90" s="60"/>
      <c r="Y90" s="60"/>
      <c r="Z90" s="60"/>
      <c r="AA90" s="60"/>
      <c r="AB90" s="60"/>
      <c r="AC90" s="440"/>
    </row>
    <row r="91" spans="1:29" x14ac:dyDescent="0.15">
      <c r="A91" s="58"/>
      <c r="B91" s="59"/>
      <c r="C91" s="59"/>
      <c r="D91" s="59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435"/>
      <c r="T91" s="60"/>
      <c r="U91" s="445"/>
      <c r="V91" s="60"/>
      <c r="W91" s="60"/>
      <c r="X91" s="60"/>
      <c r="Y91" s="60"/>
      <c r="Z91" s="60"/>
      <c r="AA91" s="60"/>
      <c r="AB91" s="60"/>
      <c r="AC91" s="440"/>
    </row>
    <row r="92" spans="1:29" x14ac:dyDescent="0.15">
      <c r="A92" s="58"/>
      <c r="B92" s="59"/>
      <c r="C92" s="59"/>
      <c r="D92" s="59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435"/>
      <c r="T92" s="60"/>
      <c r="U92" s="445"/>
      <c r="V92" s="60"/>
      <c r="W92" s="60"/>
      <c r="X92" s="60"/>
      <c r="Y92" s="60"/>
      <c r="Z92" s="60"/>
      <c r="AA92" s="60"/>
      <c r="AB92" s="60"/>
      <c r="AC92" s="440"/>
    </row>
    <row r="93" spans="1:29" x14ac:dyDescent="0.15">
      <c r="A93" s="58"/>
      <c r="B93" s="59"/>
      <c r="C93" s="59"/>
      <c r="D93" s="59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435"/>
      <c r="T93" s="60"/>
      <c r="U93" s="445"/>
      <c r="V93" s="60"/>
      <c r="W93" s="60"/>
      <c r="X93" s="60"/>
      <c r="Y93" s="60"/>
      <c r="Z93" s="60"/>
      <c r="AA93" s="60"/>
      <c r="AB93" s="60"/>
      <c r="AC93" s="440"/>
    </row>
    <row r="94" spans="1:29" x14ac:dyDescent="0.15">
      <c r="A94" s="58"/>
      <c r="B94" s="59"/>
      <c r="C94" s="59"/>
      <c r="D94" s="59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435"/>
      <c r="T94" s="60"/>
      <c r="U94" s="445"/>
      <c r="V94" s="60"/>
      <c r="W94" s="60"/>
      <c r="X94" s="60"/>
      <c r="Y94" s="60"/>
      <c r="Z94" s="60"/>
      <c r="AA94" s="60"/>
      <c r="AB94" s="60"/>
      <c r="AC94" s="440"/>
    </row>
    <row r="95" spans="1:29" x14ac:dyDescent="0.15">
      <c r="A95" s="58"/>
      <c r="B95" s="59"/>
      <c r="C95" s="59"/>
      <c r="D95" s="59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435"/>
      <c r="T95" s="60"/>
      <c r="U95" s="445"/>
      <c r="V95" s="60"/>
      <c r="W95" s="60"/>
      <c r="X95" s="60"/>
      <c r="Y95" s="60"/>
      <c r="Z95" s="60"/>
      <c r="AA95" s="60"/>
      <c r="AB95" s="60"/>
      <c r="AC95" s="440"/>
    </row>
    <row r="96" spans="1:29" x14ac:dyDescent="0.15">
      <c r="A96" s="58"/>
      <c r="B96" s="59"/>
      <c r="C96" s="59"/>
      <c r="D96" s="59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435"/>
      <c r="T96" s="60"/>
      <c r="U96" s="445"/>
      <c r="V96" s="60"/>
      <c r="W96" s="60"/>
      <c r="X96" s="60"/>
      <c r="Y96" s="60"/>
      <c r="Z96" s="60"/>
      <c r="AA96" s="60"/>
      <c r="AB96" s="60"/>
      <c r="AC96" s="440"/>
    </row>
    <row r="97" spans="1:29" x14ac:dyDescent="0.15">
      <c r="A97" s="58"/>
      <c r="B97" s="59"/>
      <c r="C97" s="59"/>
      <c r="D97" s="59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435"/>
      <c r="T97" s="60"/>
      <c r="U97" s="445"/>
      <c r="V97" s="60"/>
      <c r="W97" s="60"/>
      <c r="X97" s="60"/>
      <c r="Y97" s="60"/>
      <c r="Z97" s="60"/>
      <c r="AA97" s="60"/>
      <c r="AB97" s="60"/>
      <c r="AC97" s="440"/>
    </row>
    <row r="98" spans="1:29" x14ac:dyDescent="0.15">
      <c r="A98" s="58"/>
      <c r="B98" s="59"/>
      <c r="C98" s="59"/>
      <c r="D98" s="59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435"/>
      <c r="T98" s="60"/>
      <c r="U98" s="445"/>
      <c r="V98" s="60"/>
      <c r="W98" s="60"/>
      <c r="X98" s="60"/>
      <c r="Y98" s="60"/>
      <c r="Z98" s="60"/>
      <c r="AA98" s="60"/>
      <c r="AB98" s="60"/>
      <c r="AC98" s="440"/>
    </row>
    <row r="99" spans="1:29" x14ac:dyDescent="0.15">
      <c r="A99" s="58"/>
      <c r="B99" s="59"/>
      <c r="C99" s="59"/>
      <c r="D99" s="59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435"/>
      <c r="T99" s="60"/>
      <c r="U99" s="445"/>
      <c r="V99" s="60"/>
      <c r="W99" s="60"/>
      <c r="X99" s="60"/>
      <c r="Y99" s="60"/>
      <c r="Z99" s="60"/>
      <c r="AA99" s="60"/>
      <c r="AB99" s="60"/>
      <c r="AC99" s="440"/>
    </row>
    <row r="100" spans="1:29" x14ac:dyDescent="0.15">
      <c r="A100" s="58"/>
      <c r="B100" s="59"/>
      <c r="C100" s="59"/>
      <c r="D100" s="59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435"/>
      <c r="T100" s="60"/>
      <c r="U100" s="445"/>
      <c r="V100" s="60"/>
      <c r="W100" s="60"/>
      <c r="X100" s="60"/>
      <c r="Y100" s="60"/>
      <c r="Z100" s="60"/>
      <c r="AA100" s="60"/>
      <c r="AB100" s="60"/>
      <c r="AC100" s="440"/>
    </row>
    <row r="101" spans="1:29" x14ac:dyDescent="0.15">
      <c r="A101" s="58"/>
      <c r="B101" s="59"/>
      <c r="C101" s="59"/>
      <c r="D101" s="59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435"/>
      <c r="T101" s="60"/>
      <c r="U101" s="445"/>
      <c r="V101" s="60"/>
      <c r="W101" s="60"/>
      <c r="X101" s="60"/>
      <c r="Y101" s="60"/>
      <c r="Z101" s="60"/>
      <c r="AA101" s="60"/>
      <c r="AB101" s="60"/>
      <c r="AC101" s="440"/>
    </row>
    <row r="102" spans="1:29" x14ac:dyDescent="0.15">
      <c r="A102" s="58"/>
      <c r="B102" s="59"/>
      <c r="C102" s="59"/>
      <c r="D102" s="59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435"/>
      <c r="T102" s="60"/>
      <c r="U102" s="445"/>
      <c r="V102" s="60"/>
      <c r="W102" s="60"/>
      <c r="X102" s="60"/>
      <c r="Y102" s="60"/>
      <c r="Z102" s="60"/>
      <c r="AA102" s="60"/>
      <c r="AB102" s="60"/>
      <c r="AC102" s="440"/>
    </row>
    <row r="103" spans="1:29" x14ac:dyDescent="0.15">
      <c r="A103" s="58"/>
      <c r="B103" s="59"/>
      <c r="C103" s="59"/>
      <c r="D103" s="59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435"/>
      <c r="T103" s="60"/>
      <c r="U103" s="445"/>
      <c r="V103" s="60"/>
      <c r="W103" s="60"/>
      <c r="X103" s="60"/>
      <c r="Y103" s="60"/>
      <c r="Z103" s="60"/>
      <c r="AA103" s="60"/>
      <c r="AB103" s="60"/>
      <c r="AC103" s="440"/>
    </row>
    <row r="104" spans="1:29" x14ac:dyDescent="0.15">
      <c r="A104" s="58"/>
      <c r="B104" s="59"/>
      <c r="C104" s="59"/>
      <c r="D104" s="59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435"/>
      <c r="T104" s="60"/>
      <c r="U104" s="445"/>
      <c r="V104" s="60"/>
      <c r="W104" s="60"/>
      <c r="X104" s="60"/>
      <c r="Y104" s="60"/>
      <c r="Z104" s="60"/>
      <c r="AA104" s="60"/>
      <c r="AB104" s="60"/>
      <c r="AC104" s="440"/>
    </row>
    <row r="105" spans="1:29" x14ac:dyDescent="0.15">
      <c r="A105" s="58"/>
      <c r="B105" s="59"/>
      <c r="C105" s="59"/>
      <c r="D105" s="59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435"/>
      <c r="T105" s="60"/>
      <c r="U105" s="445"/>
      <c r="V105" s="60"/>
      <c r="W105" s="60"/>
      <c r="X105" s="60"/>
      <c r="Y105" s="60"/>
      <c r="Z105" s="60"/>
      <c r="AA105" s="60"/>
      <c r="AB105" s="60"/>
      <c r="AC105" s="440"/>
    </row>
    <row r="106" spans="1:29" x14ac:dyDescent="0.15">
      <c r="A106" s="58"/>
      <c r="B106" s="59"/>
      <c r="C106" s="59"/>
      <c r="D106" s="59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435"/>
      <c r="T106" s="60"/>
      <c r="U106" s="445"/>
      <c r="V106" s="60"/>
      <c r="W106" s="60"/>
      <c r="X106" s="60"/>
      <c r="Y106" s="60"/>
      <c r="Z106" s="60"/>
      <c r="AA106" s="60"/>
      <c r="AB106" s="60"/>
      <c r="AC106" s="440"/>
    </row>
    <row r="107" spans="1:29" x14ac:dyDescent="0.15">
      <c r="A107" s="58"/>
      <c r="B107" s="59"/>
      <c r="C107" s="59"/>
      <c r="D107" s="59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435"/>
      <c r="T107" s="60"/>
      <c r="U107" s="445"/>
      <c r="V107" s="60"/>
      <c r="W107" s="60"/>
      <c r="X107" s="60"/>
      <c r="Y107" s="60"/>
      <c r="Z107" s="60"/>
      <c r="AA107" s="60"/>
      <c r="AB107" s="60"/>
      <c r="AC107" s="440"/>
    </row>
    <row r="108" spans="1:29" x14ac:dyDescent="0.15">
      <c r="A108" s="58"/>
      <c r="B108" s="59"/>
      <c r="C108" s="59"/>
      <c r="D108" s="59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435"/>
      <c r="T108" s="60"/>
      <c r="U108" s="445"/>
      <c r="V108" s="60"/>
      <c r="W108" s="60"/>
      <c r="X108" s="60"/>
      <c r="Y108" s="60"/>
      <c r="Z108" s="60"/>
      <c r="AA108" s="60"/>
      <c r="AB108" s="60"/>
      <c r="AC108" s="440"/>
    </row>
    <row r="109" spans="1:29" x14ac:dyDescent="0.15">
      <c r="A109" s="58"/>
      <c r="B109" s="59"/>
      <c r="C109" s="59"/>
      <c r="D109" s="59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435"/>
      <c r="T109" s="60"/>
      <c r="U109" s="445"/>
      <c r="V109" s="60"/>
      <c r="W109" s="60"/>
      <c r="X109" s="60"/>
      <c r="Y109" s="60"/>
      <c r="Z109" s="60"/>
      <c r="AA109" s="60"/>
      <c r="AB109" s="60"/>
      <c r="AC109" s="440"/>
    </row>
    <row r="110" spans="1:29" x14ac:dyDescent="0.15">
      <c r="A110" s="58"/>
      <c r="B110" s="59"/>
      <c r="C110" s="59"/>
      <c r="D110" s="59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435"/>
      <c r="T110" s="60"/>
      <c r="U110" s="445"/>
      <c r="V110" s="60"/>
      <c r="W110" s="60"/>
      <c r="X110" s="60"/>
      <c r="Y110" s="60"/>
      <c r="Z110" s="60"/>
      <c r="AA110" s="60"/>
      <c r="AB110" s="60"/>
      <c r="AC110" s="440"/>
    </row>
    <row r="111" spans="1:29" x14ac:dyDescent="0.15">
      <c r="A111" s="58"/>
      <c r="B111" s="59"/>
      <c r="C111" s="59"/>
      <c r="D111" s="59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435"/>
      <c r="T111" s="60"/>
      <c r="U111" s="445"/>
      <c r="V111" s="60"/>
      <c r="W111" s="60"/>
      <c r="X111" s="60"/>
      <c r="Y111" s="60"/>
      <c r="Z111" s="60"/>
      <c r="AA111" s="60"/>
      <c r="AB111" s="60"/>
      <c r="AC111" s="440"/>
    </row>
    <row r="112" spans="1:29" x14ac:dyDescent="0.15">
      <c r="A112" s="58"/>
      <c r="B112" s="59"/>
      <c r="C112" s="59"/>
      <c r="D112" s="59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435"/>
      <c r="T112" s="60"/>
      <c r="U112" s="445"/>
      <c r="V112" s="60"/>
      <c r="W112" s="60"/>
      <c r="X112" s="60"/>
      <c r="Y112" s="60"/>
      <c r="Z112" s="60"/>
      <c r="AA112" s="60"/>
      <c r="AB112" s="60"/>
      <c r="AC112" s="440"/>
    </row>
    <row r="113" spans="1:29" x14ac:dyDescent="0.15">
      <c r="A113" s="58"/>
      <c r="B113" s="59"/>
      <c r="C113" s="59"/>
      <c r="D113" s="59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435"/>
      <c r="T113" s="60"/>
      <c r="U113" s="445"/>
      <c r="V113" s="60"/>
      <c r="W113" s="60"/>
      <c r="X113" s="60"/>
      <c r="Y113" s="60"/>
      <c r="Z113" s="60"/>
      <c r="AA113" s="60"/>
      <c r="AB113" s="60"/>
      <c r="AC113" s="440"/>
    </row>
    <row r="114" spans="1:29" x14ac:dyDescent="0.15">
      <c r="A114" s="58"/>
      <c r="B114" s="59"/>
      <c r="C114" s="59"/>
      <c r="D114" s="59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435"/>
      <c r="T114" s="60"/>
      <c r="U114" s="445"/>
      <c r="V114" s="60"/>
      <c r="W114" s="60"/>
      <c r="X114" s="60"/>
      <c r="Y114" s="60"/>
      <c r="Z114" s="60"/>
      <c r="AA114" s="60"/>
      <c r="AB114" s="60"/>
      <c r="AC114" s="440"/>
    </row>
    <row r="115" spans="1:29" x14ac:dyDescent="0.15">
      <c r="A115" s="58"/>
      <c r="B115" s="59"/>
      <c r="C115" s="59"/>
      <c r="D115" s="59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435"/>
      <c r="T115" s="60"/>
      <c r="U115" s="445"/>
      <c r="V115" s="60"/>
      <c r="W115" s="60"/>
      <c r="X115" s="60"/>
      <c r="Y115" s="60"/>
      <c r="Z115" s="60"/>
      <c r="AA115" s="60"/>
      <c r="AB115" s="60"/>
      <c r="AC115" s="440"/>
    </row>
    <row r="116" spans="1:29" x14ac:dyDescent="0.15">
      <c r="A116" s="58"/>
      <c r="B116" s="59"/>
      <c r="C116" s="59"/>
      <c r="D116" s="59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435"/>
      <c r="T116" s="60"/>
      <c r="U116" s="445"/>
      <c r="V116" s="60"/>
      <c r="W116" s="60"/>
      <c r="X116" s="60"/>
      <c r="Y116" s="60"/>
      <c r="Z116" s="60"/>
      <c r="AA116" s="60"/>
      <c r="AB116" s="60"/>
      <c r="AC116" s="440"/>
    </row>
    <row r="117" spans="1:29" x14ac:dyDescent="0.15">
      <c r="A117" s="58"/>
      <c r="B117" s="59"/>
      <c r="C117" s="59"/>
      <c r="D117" s="59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435"/>
      <c r="T117" s="60"/>
      <c r="U117" s="445"/>
      <c r="V117" s="60"/>
      <c r="W117" s="60"/>
      <c r="X117" s="60"/>
      <c r="Y117" s="60"/>
      <c r="Z117" s="60"/>
      <c r="AA117" s="60"/>
      <c r="AB117" s="60"/>
      <c r="AC117" s="440"/>
    </row>
    <row r="118" spans="1:29" x14ac:dyDescent="0.15">
      <c r="A118" s="58"/>
      <c r="B118" s="59"/>
      <c r="C118" s="59"/>
      <c r="D118" s="59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435"/>
      <c r="T118" s="60"/>
      <c r="U118" s="445"/>
      <c r="V118" s="60"/>
      <c r="W118" s="60"/>
      <c r="X118" s="60"/>
      <c r="Y118" s="60"/>
      <c r="Z118" s="60"/>
      <c r="AA118" s="60"/>
      <c r="AB118" s="60"/>
      <c r="AC118" s="440"/>
    </row>
    <row r="119" spans="1:29" x14ac:dyDescent="0.15">
      <c r="A119" s="58"/>
      <c r="B119" s="59"/>
      <c r="C119" s="59"/>
      <c r="D119" s="59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435"/>
      <c r="T119" s="60"/>
      <c r="U119" s="445"/>
      <c r="V119" s="60"/>
      <c r="W119" s="60"/>
      <c r="X119" s="60"/>
      <c r="Y119" s="60"/>
      <c r="Z119" s="60"/>
      <c r="AA119" s="60"/>
      <c r="AB119" s="60"/>
      <c r="AC119" s="440"/>
    </row>
    <row r="120" spans="1:29" x14ac:dyDescent="0.15">
      <c r="A120" s="58"/>
      <c r="B120" s="59"/>
      <c r="C120" s="59"/>
      <c r="D120" s="59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435"/>
      <c r="T120" s="60"/>
      <c r="U120" s="445"/>
      <c r="V120" s="60"/>
      <c r="W120" s="60"/>
      <c r="X120" s="60"/>
      <c r="Y120" s="60"/>
      <c r="Z120" s="60"/>
      <c r="AA120" s="60"/>
      <c r="AB120" s="60"/>
      <c r="AC120" s="440"/>
    </row>
    <row r="121" spans="1:29" x14ac:dyDescent="0.15">
      <c r="A121" s="58"/>
      <c r="B121" s="59"/>
      <c r="C121" s="59"/>
      <c r="D121" s="59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435"/>
      <c r="T121" s="60"/>
      <c r="U121" s="445"/>
      <c r="V121" s="60"/>
      <c r="W121" s="60"/>
      <c r="X121" s="60"/>
      <c r="Y121" s="60"/>
      <c r="Z121" s="60"/>
      <c r="AA121" s="60"/>
      <c r="AB121" s="60"/>
      <c r="AC121" s="440"/>
    </row>
    <row r="122" spans="1:29" x14ac:dyDescent="0.15">
      <c r="A122" s="58"/>
      <c r="B122" s="59"/>
      <c r="C122" s="59"/>
      <c r="D122" s="59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435"/>
      <c r="T122" s="60"/>
      <c r="U122" s="445"/>
      <c r="V122" s="60"/>
      <c r="W122" s="60"/>
      <c r="X122" s="60"/>
      <c r="Y122" s="60"/>
      <c r="Z122" s="60"/>
      <c r="AA122" s="60"/>
      <c r="AB122" s="60"/>
      <c r="AC122" s="440"/>
    </row>
    <row r="123" spans="1:29" x14ac:dyDescent="0.15">
      <c r="A123" s="58"/>
      <c r="B123" s="59"/>
      <c r="C123" s="59"/>
      <c r="D123" s="59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435"/>
      <c r="T123" s="60"/>
      <c r="U123" s="445"/>
      <c r="V123" s="60"/>
      <c r="W123" s="60"/>
      <c r="X123" s="60"/>
      <c r="Y123" s="60"/>
      <c r="Z123" s="60"/>
      <c r="AA123" s="60"/>
      <c r="AB123" s="60"/>
      <c r="AC123" s="440"/>
    </row>
    <row r="124" spans="1:29" x14ac:dyDescent="0.15">
      <c r="A124" s="58"/>
      <c r="B124" s="59"/>
      <c r="C124" s="59"/>
      <c r="D124" s="59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435"/>
      <c r="T124" s="60"/>
      <c r="U124" s="445"/>
      <c r="V124" s="60"/>
      <c r="W124" s="60"/>
      <c r="X124" s="60"/>
      <c r="Y124" s="60"/>
      <c r="Z124" s="60"/>
      <c r="AA124" s="60"/>
      <c r="AB124" s="60"/>
      <c r="AC124" s="440"/>
    </row>
    <row r="125" spans="1:29" x14ac:dyDescent="0.15">
      <c r="A125" s="58"/>
      <c r="B125" s="59"/>
      <c r="C125" s="59"/>
      <c r="D125" s="59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435"/>
      <c r="T125" s="60"/>
      <c r="U125" s="445"/>
      <c r="V125" s="60"/>
      <c r="W125" s="60"/>
      <c r="X125" s="60"/>
      <c r="Y125" s="60"/>
      <c r="Z125" s="60"/>
      <c r="AA125" s="60"/>
      <c r="AB125" s="60"/>
      <c r="AC125" s="440"/>
    </row>
    <row r="126" spans="1:29" x14ac:dyDescent="0.15">
      <c r="A126" s="58"/>
      <c r="B126" s="59"/>
      <c r="C126" s="59"/>
      <c r="D126" s="59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435"/>
      <c r="T126" s="60"/>
      <c r="U126" s="445"/>
      <c r="V126" s="60"/>
      <c r="W126" s="60"/>
      <c r="X126" s="60"/>
      <c r="Y126" s="60"/>
      <c r="Z126" s="60"/>
      <c r="AA126" s="60"/>
      <c r="AB126" s="60"/>
      <c r="AC126" s="440"/>
    </row>
    <row r="127" spans="1:29" x14ac:dyDescent="0.15">
      <c r="A127" s="58"/>
      <c r="B127" s="59"/>
      <c r="C127" s="59"/>
      <c r="D127" s="59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435"/>
      <c r="T127" s="60"/>
      <c r="U127" s="445"/>
      <c r="V127" s="60"/>
      <c r="W127" s="60"/>
      <c r="X127" s="60"/>
      <c r="Y127" s="60"/>
      <c r="Z127" s="60"/>
      <c r="AA127" s="60"/>
      <c r="AB127" s="60"/>
      <c r="AC127" s="440"/>
    </row>
    <row r="128" spans="1:29" x14ac:dyDescent="0.15">
      <c r="A128" s="58"/>
      <c r="B128" s="59"/>
      <c r="C128" s="59"/>
      <c r="D128" s="59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435"/>
      <c r="T128" s="60"/>
      <c r="U128" s="445"/>
      <c r="V128" s="60"/>
      <c r="W128" s="60"/>
      <c r="X128" s="60"/>
      <c r="Y128" s="60"/>
      <c r="Z128" s="60"/>
      <c r="AA128" s="60"/>
      <c r="AB128" s="60"/>
      <c r="AC128" s="440"/>
    </row>
    <row r="129" spans="1:29" x14ac:dyDescent="0.15">
      <c r="A129" s="58"/>
      <c r="B129" s="59"/>
      <c r="C129" s="59"/>
      <c r="D129" s="59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435"/>
      <c r="T129" s="60"/>
      <c r="U129" s="445"/>
      <c r="V129" s="60"/>
      <c r="W129" s="60"/>
      <c r="X129" s="60"/>
      <c r="Y129" s="60"/>
      <c r="Z129" s="60"/>
      <c r="AA129" s="60"/>
      <c r="AB129" s="60"/>
      <c r="AC129" s="440"/>
    </row>
    <row r="130" spans="1:29" x14ac:dyDescent="0.15">
      <c r="A130" s="58"/>
      <c r="B130" s="59"/>
      <c r="C130" s="59"/>
      <c r="D130" s="59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435"/>
      <c r="T130" s="60"/>
      <c r="U130" s="445"/>
      <c r="V130" s="60"/>
      <c r="W130" s="60"/>
      <c r="X130" s="60"/>
      <c r="Y130" s="60"/>
      <c r="Z130" s="60"/>
      <c r="AA130" s="60"/>
      <c r="AB130" s="60"/>
      <c r="AC130" s="440"/>
    </row>
    <row r="131" spans="1:29" x14ac:dyDescent="0.15">
      <c r="A131" s="58"/>
      <c r="B131" s="59"/>
      <c r="C131" s="59"/>
      <c r="D131" s="59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435"/>
      <c r="T131" s="60"/>
      <c r="U131" s="445"/>
      <c r="V131" s="60"/>
      <c r="W131" s="60"/>
      <c r="X131" s="60"/>
      <c r="Y131" s="60"/>
      <c r="Z131" s="60"/>
      <c r="AA131" s="60"/>
      <c r="AB131" s="60"/>
      <c r="AC131" s="440"/>
    </row>
    <row r="132" spans="1:29" x14ac:dyDescent="0.15">
      <c r="A132" s="58"/>
      <c r="B132" s="59"/>
      <c r="C132" s="59"/>
      <c r="D132" s="59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435"/>
      <c r="T132" s="60"/>
      <c r="U132" s="445"/>
      <c r="V132" s="60"/>
      <c r="W132" s="60"/>
      <c r="X132" s="60"/>
      <c r="Y132" s="60"/>
      <c r="Z132" s="60"/>
      <c r="AA132" s="60"/>
      <c r="AB132" s="60"/>
      <c r="AC132" s="440"/>
    </row>
    <row r="133" spans="1:29" x14ac:dyDescent="0.15">
      <c r="A133" s="58"/>
      <c r="B133" s="59"/>
      <c r="C133" s="59"/>
      <c r="D133" s="59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435"/>
      <c r="T133" s="60"/>
      <c r="U133" s="445"/>
      <c r="V133" s="60"/>
      <c r="W133" s="60"/>
      <c r="X133" s="60"/>
      <c r="Y133" s="60"/>
      <c r="Z133" s="60"/>
      <c r="AA133" s="60"/>
      <c r="AB133" s="60"/>
      <c r="AC133" s="440"/>
    </row>
    <row r="134" spans="1:29" x14ac:dyDescent="0.15">
      <c r="A134" s="58"/>
      <c r="B134" s="59"/>
      <c r="C134" s="59"/>
      <c r="D134" s="59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435"/>
      <c r="T134" s="60"/>
      <c r="U134" s="445"/>
      <c r="V134" s="60"/>
      <c r="W134" s="60"/>
      <c r="X134" s="60"/>
      <c r="Y134" s="60"/>
      <c r="Z134" s="60"/>
      <c r="AA134" s="60"/>
      <c r="AB134" s="60"/>
      <c r="AC134" s="440"/>
    </row>
    <row r="135" spans="1:29" x14ac:dyDescent="0.15">
      <c r="A135" s="58"/>
      <c r="B135" s="59"/>
      <c r="C135" s="59"/>
      <c r="D135" s="59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435"/>
      <c r="T135" s="60"/>
      <c r="U135" s="445"/>
      <c r="V135" s="60"/>
      <c r="W135" s="60"/>
      <c r="X135" s="60"/>
      <c r="Y135" s="60"/>
      <c r="Z135" s="60"/>
      <c r="AA135" s="60"/>
      <c r="AB135" s="60"/>
      <c r="AC135" s="440"/>
    </row>
    <row r="136" spans="1:29" x14ac:dyDescent="0.15">
      <c r="A136" s="58"/>
      <c r="B136" s="59"/>
      <c r="C136" s="59"/>
      <c r="D136" s="59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435"/>
      <c r="T136" s="60"/>
      <c r="U136" s="445"/>
      <c r="V136" s="60"/>
      <c r="W136" s="60"/>
      <c r="X136" s="60"/>
      <c r="Y136" s="60"/>
      <c r="Z136" s="60"/>
      <c r="AA136" s="60"/>
      <c r="AB136" s="60"/>
      <c r="AC136" s="440"/>
    </row>
    <row r="137" spans="1:29" x14ac:dyDescent="0.15">
      <c r="A137" s="58"/>
      <c r="B137" s="59"/>
      <c r="C137" s="59"/>
      <c r="D137" s="59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435"/>
      <c r="T137" s="60"/>
      <c r="U137" s="445"/>
      <c r="V137" s="60"/>
      <c r="W137" s="60"/>
      <c r="X137" s="60"/>
      <c r="Y137" s="60"/>
      <c r="Z137" s="60"/>
      <c r="AA137" s="60"/>
      <c r="AB137" s="60"/>
      <c r="AC137" s="440"/>
    </row>
    <row r="138" spans="1:29" x14ac:dyDescent="0.15">
      <c r="A138" s="58"/>
      <c r="B138" s="59"/>
      <c r="C138" s="59"/>
      <c r="D138" s="59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435"/>
      <c r="T138" s="60"/>
      <c r="U138" s="445"/>
      <c r="V138" s="60"/>
      <c r="W138" s="60"/>
      <c r="X138" s="60"/>
      <c r="Y138" s="60"/>
      <c r="Z138" s="60"/>
      <c r="AA138" s="60"/>
      <c r="AB138" s="60"/>
      <c r="AC138" s="440"/>
    </row>
    <row r="139" spans="1:29" x14ac:dyDescent="0.15">
      <c r="A139" s="58"/>
      <c r="B139" s="59"/>
      <c r="C139" s="59"/>
      <c r="D139" s="59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435"/>
      <c r="T139" s="60"/>
      <c r="U139" s="445"/>
      <c r="V139" s="60"/>
      <c r="W139" s="60"/>
      <c r="X139" s="60"/>
      <c r="Y139" s="60"/>
      <c r="Z139" s="60"/>
      <c r="AA139" s="60"/>
      <c r="AB139" s="60"/>
      <c r="AC139" s="440"/>
    </row>
    <row r="140" spans="1:29" x14ac:dyDescent="0.15">
      <c r="A140" s="58"/>
      <c r="B140" s="59"/>
      <c r="C140" s="59"/>
      <c r="D140" s="59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435"/>
      <c r="T140" s="60"/>
      <c r="U140" s="445"/>
      <c r="V140" s="60"/>
      <c r="W140" s="60"/>
      <c r="X140" s="60"/>
      <c r="Y140" s="60"/>
      <c r="Z140" s="60"/>
      <c r="AA140" s="60"/>
      <c r="AB140" s="60"/>
      <c r="AC140" s="440"/>
    </row>
    <row r="141" spans="1:29" x14ac:dyDescent="0.15">
      <c r="A141" s="58"/>
      <c r="B141" s="59"/>
      <c r="C141" s="59"/>
      <c r="D141" s="59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435"/>
      <c r="T141" s="60"/>
      <c r="U141" s="445"/>
      <c r="V141" s="60"/>
      <c r="W141" s="60"/>
      <c r="X141" s="60"/>
      <c r="Y141" s="60"/>
      <c r="Z141" s="60"/>
      <c r="AA141" s="60"/>
      <c r="AB141" s="60"/>
      <c r="AC141" s="440"/>
    </row>
    <row r="142" spans="1:29" x14ac:dyDescent="0.15">
      <c r="A142" s="58"/>
      <c r="B142" s="59"/>
      <c r="C142" s="59"/>
      <c r="D142" s="59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435"/>
      <c r="T142" s="60"/>
      <c r="U142" s="445"/>
      <c r="V142" s="60"/>
      <c r="W142" s="60"/>
      <c r="X142" s="60"/>
      <c r="Y142" s="60"/>
      <c r="Z142" s="60"/>
      <c r="AA142" s="60"/>
      <c r="AB142" s="60"/>
      <c r="AC142" s="440"/>
    </row>
    <row r="143" spans="1:29" x14ac:dyDescent="0.15">
      <c r="A143" s="58"/>
      <c r="B143" s="59"/>
      <c r="C143" s="59"/>
      <c r="D143" s="59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435"/>
      <c r="T143" s="60"/>
      <c r="U143" s="445"/>
      <c r="V143" s="60"/>
      <c r="W143" s="60"/>
      <c r="X143" s="60"/>
      <c r="Y143" s="60"/>
      <c r="Z143" s="60"/>
      <c r="AA143" s="60"/>
      <c r="AB143" s="60"/>
      <c r="AC143" s="440"/>
    </row>
    <row r="144" spans="1:29" x14ac:dyDescent="0.15">
      <c r="A144" s="58"/>
      <c r="B144" s="59"/>
      <c r="C144" s="59"/>
      <c r="D144" s="59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435"/>
      <c r="T144" s="60"/>
      <c r="U144" s="445"/>
      <c r="V144" s="60"/>
      <c r="W144" s="60"/>
      <c r="X144" s="60"/>
      <c r="Y144" s="60"/>
      <c r="Z144" s="60"/>
      <c r="AA144" s="60"/>
      <c r="AB144" s="60"/>
      <c r="AC144" s="440"/>
    </row>
    <row r="145" spans="1:29" x14ac:dyDescent="0.15">
      <c r="A145" s="58"/>
      <c r="B145" s="59"/>
      <c r="C145" s="59"/>
      <c r="D145" s="59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435"/>
      <c r="T145" s="60"/>
      <c r="U145" s="445"/>
      <c r="V145" s="60"/>
      <c r="W145" s="60"/>
      <c r="X145" s="60"/>
      <c r="Y145" s="60"/>
      <c r="Z145" s="60"/>
      <c r="AA145" s="60"/>
      <c r="AB145" s="60"/>
      <c r="AC145" s="440"/>
    </row>
    <row r="146" spans="1:29" x14ac:dyDescent="0.15">
      <c r="A146" s="58"/>
      <c r="B146" s="59"/>
      <c r="C146" s="59"/>
      <c r="D146" s="59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435"/>
      <c r="T146" s="60"/>
      <c r="U146" s="445"/>
      <c r="V146" s="60"/>
      <c r="W146" s="60"/>
      <c r="X146" s="60"/>
      <c r="Y146" s="60"/>
      <c r="Z146" s="60"/>
      <c r="AA146" s="60"/>
      <c r="AB146" s="60"/>
      <c r="AC146" s="440"/>
    </row>
    <row r="147" spans="1:29" x14ac:dyDescent="0.15">
      <c r="A147" s="58"/>
      <c r="B147" s="59"/>
      <c r="C147" s="59"/>
      <c r="D147" s="59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435"/>
      <c r="T147" s="60"/>
      <c r="U147" s="445"/>
      <c r="V147" s="60"/>
      <c r="W147" s="60"/>
      <c r="X147" s="60"/>
      <c r="Y147" s="60"/>
      <c r="Z147" s="60"/>
      <c r="AA147" s="60"/>
      <c r="AB147" s="60"/>
      <c r="AC147" s="440"/>
    </row>
    <row r="148" spans="1:29" x14ac:dyDescent="0.15">
      <c r="A148" s="58"/>
      <c r="B148" s="59"/>
      <c r="C148" s="59"/>
      <c r="D148" s="59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435"/>
      <c r="T148" s="60"/>
      <c r="U148" s="445"/>
      <c r="V148" s="60"/>
      <c r="W148" s="60"/>
      <c r="X148" s="60"/>
      <c r="Y148" s="60"/>
      <c r="Z148" s="60"/>
      <c r="AA148" s="60"/>
      <c r="AB148" s="60"/>
      <c r="AC148" s="440"/>
    </row>
    <row r="149" spans="1:29" x14ac:dyDescent="0.15">
      <c r="A149" s="58"/>
      <c r="B149" s="59"/>
      <c r="C149" s="59"/>
      <c r="D149" s="59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435"/>
      <c r="T149" s="60"/>
      <c r="U149" s="445"/>
      <c r="V149" s="60"/>
      <c r="W149" s="60"/>
      <c r="X149" s="60"/>
      <c r="Y149" s="60"/>
      <c r="Z149" s="60"/>
      <c r="AA149" s="60"/>
      <c r="AB149" s="60"/>
      <c r="AC149" s="440"/>
    </row>
    <row r="150" spans="1:29" x14ac:dyDescent="0.15">
      <c r="A150" s="58"/>
      <c r="B150" s="59"/>
      <c r="C150" s="59"/>
      <c r="D150" s="59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435"/>
      <c r="T150" s="60"/>
      <c r="U150" s="445"/>
      <c r="V150" s="60"/>
      <c r="W150" s="60"/>
      <c r="X150" s="60"/>
      <c r="Y150" s="60"/>
      <c r="Z150" s="60"/>
      <c r="AA150" s="60"/>
      <c r="AB150" s="60"/>
      <c r="AC150" s="440"/>
    </row>
    <row r="151" spans="1:29" x14ac:dyDescent="0.15">
      <c r="A151" s="61"/>
      <c r="B151" s="62"/>
      <c r="C151" s="62"/>
      <c r="D151" s="62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436"/>
      <c r="T151" s="63"/>
      <c r="U151" s="446"/>
      <c r="V151" s="63"/>
      <c r="W151" s="63"/>
      <c r="X151" s="63"/>
      <c r="Y151" s="63"/>
      <c r="Z151" s="63"/>
      <c r="AA151" s="63"/>
      <c r="AB151" s="63"/>
      <c r="AC151" s="441"/>
    </row>
  </sheetData>
  <protectedRanges>
    <protectedRange sqref="B5:D151" name="범위1"/>
  </protectedRanges>
  <mergeCells count="3">
    <mergeCell ref="A1:S1"/>
    <mergeCell ref="B2:D2"/>
    <mergeCell ref="A3:D3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1"/>
  <dimension ref="A1:S111"/>
  <sheetViews>
    <sheetView zoomScaleNormal="100" workbookViewId="0">
      <selection activeCell="B1" sqref="B1:I1"/>
    </sheetView>
  </sheetViews>
  <sheetFormatPr defaultRowHeight="16.5" x14ac:dyDescent="0.3"/>
  <cols>
    <col min="1" max="1" width="1.625" customWidth="1"/>
    <col min="2" max="2" width="10.75" customWidth="1"/>
    <col min="3" max="3" width="12.625" customWidth="1"/>
    <col min="4" max="4" width="9" customWidth="1"/>
    <col min="5" max="5" width="9.75" customWidth="1"/>
    <col min="6" max="6" width="13" customWidth="1"/>
    <col min="7" max="7" width="11.625" customWidth="1"/>
    <col min="8" max="8" width="13" customWidth="1"/>
    <col min="9" max="9" width="12.625" customWidth="1"/>
    <col min="10" max="10" width="15.75" hidden="1" customWidth="1"/>
    <col min="11" max="11" width="12.875" hidden="1" customWidth="1"/>
    <col min="12" max="12" width="19.75" hidden="1" customWidth="1"/>
    <col min="13" max="13" width="21.5" hidden="1" customWidth="1"/>
    <col min="14" max="14" width="17.875" hidden="1" customWidth="1"/>
    <col min="15" max="17" width="0" hidden="1" customWidth="1"/>
    <col min="18" max="18" width="20.375" hidden="1" customWidth="1"/>
    <col min="19" max="19" width="0" hidden="1" customWidth="1"/>
  </cols>
  <sheetData>
    <row r="1" spans="1:19" ht="30.75" customHeight="1" x14ac:dyDescent="0.15">
      <c r="A1" s="64"/>
      <c r="B1" s="565" t="s">
        <v>8</v>
      </c>
      <c r="C1" s="565"/>
      <c r="D1" s="565"/>
      <c r="E1" s="565"/>
      <c r="F1" s="565"/>
      <c r="G1" s="565"/>
      <c r="H1" s="565"/>
      <c r="I1" s="565"/>
      <c r="J1" s="65"/>
      <c r="K1" s="66"/>
      <c r="L1" s="66"/>
      <c r="M1" s="67"/>
      <c r="N1" s="68"/>
    </row>
    <row r="2" spans="1:19" x14ac:dyDescent="0.15">
      <c r="A2" s="64"/>
      <c r="B2" s="69"/>
      <c r="C2" s="70"/>
      <c r="D2" s="70"/>
      <c r="E2" s="70"/>
      <c r="F2" s="70"/>
      <c r="G2" s="70"/>
      <c r="H2" s="70"/>
      <c r="I2" s="70"/>
      <c r="J2" s="71"/>
      <c r="K2" s="66"/>
      <c r="L2" s="66"/>
      <c r="M2" s="67"/>
      <c r="N2" s="68"/>
    </row>
    <row r="3" spans="1:19" x14ac:dyDescent="0.15">
      <c r="A3" s="64"/>
      <c r="B3" s="566" t="s">
        <v>9</v>
      </c>
      <c r="C3" s="567"/>
      <c r="D3" s="72" t="str">
        <f>수종별재적표!D3:H3</f>
        <v>강릉 54임반 4(라)소반 외 1 개소</v>
      </c>
      <c r="E3" s="72"/>
      <c r="F3" s="72"/>
      <c r="G3" s="72"/>
      <c r="H3" s="72"/>
      <c r="I3" s="72"/>
      <c r="J3" s="73"/>
      <c r="K3" s="66"/>
      <c r="L3" s="66"/>
      <c r="M3" s="67"/>
      <c r="N3" s="68"/>
    </row>
    <row r="4" spans="1:19" x14ac:dyDescent="0.15">
      <c r="A4" s="64"/>
      <c r="B4" s="566" t="s">
        <v>10</v>
      </c>
      <c r="C4" s="567"/>
      <c r="D4" s="568" t="e">
        <f>#REF!</f>
        <v>#REF!</v>
      </c>
      <c r="E4" s="569"/>
      <c r="F4" s="570" t="s">
        <v>11</v>
      </c>
      <c r="G4" s="570"/>
      <c r="H4" s="571" t="e">
        <f>#REF!&amp;" "&amp;#REF!</f>
        <v>#REF!</v>
      </c>
      <c r="I4" s="571"/>
      <c r="J4" s="71"/>
      <c r="K4" s="66"/>
      <c r="L4" s="66"/>
      <c r="M4" s="67"/>
      <c r="N4" s="68"/>
    </row>
    <row r="5" spans="1:19" x14ac:dyDescent="0.15">
      <c r="A5" s="64"/>
      <c r="B5" s="74"/>
      <c r="C5" s="74"/>
      <c r="D5" s="74"/>
      <c r="E5" s="74"/>
      <c r="F5" s="74" t="s">
        <v>12</v>
      </c>
      <c r="G5" s="74"/>
      <c r="H5" s="74"/>
      <c r="I5" s="74"/>
      <c r="J5" s="75"/>
      <c r="K5" s="66"/>
      <c r="L5" s="66"/>
      <c r="M5" s="67"/>
      <c r="N5" s="68"/>
    </row>
    <row r="6" spans="1:19" x14ac:dyDescent="0.15">
      <c r="A6" s="64"/>
      <c r="B6" s="549" t="s">
        <v>13</v>
      </c>
      <c r="C6" s="550"/>
      <c r="D6" s="76"/>
      <c r="E6" s="77"/>
      <c r="F6" s="77"/>
      <c r="G6" s="77"/>
      <c r="H6" s="77"/>
      <c r="I6" s="77"/>
      <c r="J6" s="90" t="s">
        <v>302</v>
      </c>
      <c r="K6" s="462" t="s">
        <v>303</v>
      </c>
      <c r="L6" s="462" t="s">
        <v>304</v>
      </c>
      <c r="M6" s="463" t="s">
        <v>305</v>
      </c>
      <c r="N6" s="464" t="s">
        <v>306</v>
      </c>
    </row>
    <row r="7" spans="1:19" x14ac:dyDescent="0.15">
      <c r="A7" s="64"/>
      <c r="B7" s="572" t="s">
        <v>274</v>
      </c>
      <c r="C7" s="394" t="s">
        <v>274</v>
      </c>
      <c r="D7" s="574" t="s">
        <v>275</v>
      </c>
      <c r="E7" s="558"/>
      <c r="F7" s="574" t="s">
        <v>276</v>
      </c>
      <c r="G7" s="558"/>
      <c r="H7" s="394" t="s">
        <v>277</v>
      </c>
      <c r="I7" s="561" t="s">
        <v>278</v>
      </c>
      <c r="J7" s="80" t="s">
        <v>90</v>
      </c>
      <c r="K7" s="462" t="s">
        <v>90</v>
      </c>
      <c r="L7" s="91" t="s">
        <v>90</v>
      </c>
      <c r="M7" s="465" t="s">
        <v>90</v>
      </c>
      <c r="N7" s="465"/>
    </row>
    <row r="8" spans="1:19" x14ac:dyDescent="0.15">
      <c r="A8" s="64"/>
      <c r="B8" s="573"/>
      <c r="C8" s="395" t="s">
        <v>279</v>
      </c>
      <c r="D8" s="575"/>
      <c r="E8" s="560"/>
      <c r="F8" s="575"/>
      <c r="G8" s="560"/>
      <c r="H8" s="395" t="s">
        <v>280</v>
      </c>
      <c r="I8" s="562"/>
      <c r="J8" s="80" t="s">
        <v>307</v>
      </c>
      <c r="K8" s="462" t="s">
        <v>407</v>
      </c>
      <c r="L8" s="91" t="s">
        <v>308</v>
      </c>
      <c r="M8" s="465" t="s">
        <v>404</v>
      </c>
      <c r="N8" s="465">
        <v>0</v>
      </c>
    </row>
    <row r="9" spans="1:19" x14ac:dyDescent="0.15">
      <c r="A9" s="64"/>
      <c r="B9" s="389" t="s">
        <v>439</v>
      </c>
      <c r="C9" s="101" t="s">
        <v>440</v>
      </c>
      <c r="D9" s="563" t="s">
        <v>441</v>
      </c>
      <c r="E9" s="564"/>
      <c r="F9" s="563" t="s">
        <v>404</v>
      </c>
      <c r="G9" s="576"/>
      <c r="H9" s="84">
        <v>20.170000000000002</v>
      </c>
      <c r="I9" s="85"/>
      <c r="J9" s="80"/>
      <c r="K9" s="462" t="s">
        <v>408</v>
      </c>
      <c r="L9" s="91" t="s">
        <v>403</v>
      </c>
      <c r="M9" s="465" t="s">
        <v>405</v>
      </c>
      <c r="N9" s="465">
        <v>5</v>
      </c>
    </row>
    <row r="10" spans="1:19" x14ac:dyDescent="0.15">
      <c r="A10" s="64"/>
      <c r="B10" s="86"/>
      <c r="C10" s="77"/>
      <c r="D10" s="76"/>
      <c r="E10" s="77"/>
      <c r="F10" s="77"/>
      <c r="G10" s="77"/>
      <c r="H10" s="466" t="s">
        <v>310</v>
      </c>
      <c r="I10" s="469">
        <f>IF(ISERROR(VLOOKUP(C9,$K$8:$N$10,4,FALSE)),0,VLOOKUP(C9,$K$8:$N$10,4,FALSE))+IF(ISERROR(VLOOKUP(D9,$L$8:$N$10,3,FALSE)),0,VLOOKUP(D9,$L$8:$N$10,3,FALSE))+IF(ISERROR(VLOOKUP(F9,$M$8:$N$10,2,FALSE)),0,VLOOKUP(F9,$M$8:$N$10,2,FALSE))</f>
        <v>10</v>
      </c>
      <c r="J10" s="80"/>
      <c r="K10" s="462" t="s">
        <v>406</v>
      </c>
      <c r="L10" s="462" t="s">
        <v>309</v>
      </c>
      <c r="M10" s="465" t="s">
        <v>409</v>
      </c>
      <c r="N10" s="465">
        <v>10</v>
      </c>
    </row>
    <row r="11" spans="1:19" x14ac:dyDescent="0.15">
      <c r="A11" s="64"/>
      <c r="B11" s="450"/>
      <c r="C11" s="451"/>
      <c r="D11" s="76"/>
      <c r="E11" s="451"/>
      <c r="F11" s="451"/>
      <c r="G11" s="451"/>
      <c r="H11" s="467"/>
      <c r="I11" s="468"/>
      <c r="J11" s="87"/>
      <c r="K11" s="88"/>
      <c r="L11" s="88"/>
      <c r="M11" s="68"/>
      <c r="N11" s="68"/>
    </row>
    <row r="12" spans="1:19" x14ac:dyDescent="0.15">
      <c r="A12" s="64"/>
      <c r="B12" s="549" t="s">
        <v>311</v>
      </c>
      <c r="C12" s="550"/>
      <c r="D12" s="451"/>
      <c r="E12" s="451"/>
      <c r="F12" s="89"/>
      <c r="G12" s="451"/>
      <c r="H12" s="451"/>
      <c r="I12" s="451"/>
      <c r="J12" s="90" t="s">
        <v>326</v>
      </c>
      <c r="K12" s="462" t="s">
        <v>313</v>
      </c>
      <c r="L12" s="462" t="s">
        <v>327</v>
      </c>
      <c r="M12" s="462" t="s">
        <v>328</v>
      </c>
      <c r="N12" s="614" t="s">
        <v>329</v>
      </c>
      <c r="O12" s="615"/>
      <c r="P12" s="614" t="s">
        <v>330</v>
      </c>
      <c r="Q12" s="615"/>
      <c r="R12" s="614" t="s">
        <v>325</v>
      </c>
      <c r="S12" s="615"/>
    </row>
    <row r="13" spans="1:19" x14ac:dyDescent="0.15">
      <c r="A13" s="64"/>
      <c r="B13" s="447" t="s">
        <v>312</v>
      </c>
      <c r="C13" s="454" t="s">
        <v>313</v>
      </c>
      <c r="D13" s="454" t="s">
        <v>314</v>
      </c>
      <c r="E13" s="452" t="s">
        <v>315</v>
      </c>
      <c r="F13" s="454" t="s">
        <v>316</v>
      </c>
      <c r="G13" s="454" t="s">
        <v>317</v>
      </c>
      <c r="H13" s="587" t="s">
        <v>318</v>
      </c>
      <c r="I13" s="448" t="s">
        <v>314</v>
      </c>
      <c r="J13" s="90" t="s">
        <v>331</v>
      </c>
      <c r="K13" s="90" t="s">
        <v>331</v>
      </c>
      <c r="L13" s="90" t="s">
        <v>331</v>
      </c>
      <c r="M13" s="90" t="s">
        <v>331</v>
      </c>
      <c r="N13" s="90" t="s">
        <v>331</v>
      </c>
      <c r="O13" s="498">
        <v>0</v>
      </c>
      <c r="P13" s="90" t="s">
        <v>331</v>
      </c>
      <c r="Q13" s="498">
        <v>0</v>
      </c>
      <c r="R13" s="90" t="s">
        <v>331</v>
      </c>
      <c r="S13" s="498">
        <v>0</v>
      </c>
    </row>
    <row r="14" spans="1:19" x14ac:dyDescent="0.15">
      <c r="A14" s="64"/>
      <c r="B14" s="471" t="s">
        <v>319</v>
      </c>
      <c r="C14" s="455" t="s">
        <v>320</v>
      </c>
      <c r="D14" s="455" t="s">
        <v>321</v>
      </c>
      <c r="E14" s="453" t="s">
        <v>322</v>
      </c>
      <c r="F14" s="455" t="s">
        <v>323</v>
      </c>
      <c r="G14" s="455" t="s">
        <v>324</v>
      </c>
      <c r="H14" s="588"/>
      <c r="I14" s="449" t="s">
        <v>325</v>
      </c>
      <c r="J14" s="90" t="s">
        <v>332</v>
      </c>
      <c r="K14" s="91" t="s">
        <v>333</v>
      </c>
      <c r="L14" s="462" t="s">
        <v>334</v>
      </c>
      <c r="M14" s="462" t="s">
        <v>393</v>
      </c>
      <c r="N14" s="464" t="s">
        <v>395</v>
      </c>
      <c r="O14" s="499">
        <v>10</v>
      </c>
      <c r="P14" s="464" t="s">
        <v>398</v>
      </c>
      <c r="Q14" s="499">
        <v>-5</v>
      </c>
      <c r="R14" s="464" t="s">
        <v>399</v>
      </c>
      <c r="S14" s="499">
        <v>0</v>
      </c>
    </row>
    <row r="15" spans="1:19" ht="54" x14ac:dyDescent="0.15">
      <c r="A15" s="64"/>
      <c r="B15" s="472" t="s">
        <v>442</v>
      </c>
      <c r="C15" s="473" t="s">
        <v>443</v>
      </c>
      <c r="D15" s="474">
        <f>172.278</f>
        <v>172.27799999999999</v>
      </c>
      <c r="E15" s="473" t="s">
        <v>281</v>
      </c>
      <c r="F15" s="475">
        <f>30.28</f>
        <v>30.28</v>
      </c>
      <c r="G15" s="476" t="s">
        <v>397</v>
      </c>
      <c r="H15" s="476" t="s">
        <v>398</v>
      </c>
      <c r="I15" s="477" t="s">
        <v>399</v>
      </c>
      <c r="J15" s="90"/>
      <c r="K15" s="91" t="s">
        <v>335</v>
      </c>
      <c r="L15" s="462" t="s">
        <v>336</v>
      </c>
      <c r="M15" s="462" t="s">
        <v>393</v>
      </c>
      <c r="N15" s="464" t="s">
        <v>396</v>
      </c>
      <c r="O15" s="499">
        <v>5</v>
      </c>
      <c r="P15" s="464" t="s">
        <v>402</v>
      </c>
      <c r="Q15" s="499">
        <v>0</v>
      </c>
      <c r="R15" s="464" t="s">
        <v>400</v>
      </c>
      <c r="S15" s="499">
        <v>5</v>
      </c>
    </row>
    <row r="16" spans="1:19" x14ac:dyDescent="0.15">
      <c r="A16" s="64"/>
      <c r="B16" s="95"/>
      <c r="C16" s="96"/>
      <c r="D16" s="96"/>
      <c r="E16" s="96"/>
      <c r="F16" s="97"/>
      <c r="G16" s="96"/>
      <c r="H16" s="466" t="s">
        <v>310</v>
      </c>
      <c r="I16" s="469">
        <f>IF(ISERROR(VLOOKUP(G15,$N$13:$O$16,2,FALSE)),0,VLOOKUP(G15,$N$13:$O$16,2,FALSE))+IF(ISERROR(VLOOKUP(H15,$P$13:$Q$15,2,FALSE)),0,VLOOKUP(H15,$P$13:$Q$15,2,FALSE))+IF(ISERROR(VLOOKUP(I15,$R$13:$S$16,2,FALSE)),0,VLOOKUP(I15,$R$13:$S$16,2,FALSE))</f>
        <v>-5</v>
      </c>
      <c r="J16" s="99"/>
      <c r="K16" s="91"/>
      <c r="L16" s="462" t="s">
        <v>337</v>
      </c>
      <c r="M16" s="462" t="s">
        <v>394</v>
      </c>
      <c r="N16" s="464" t="s">
        <v>397</v>
      </c>
      <c r="O16" s="499">
        <v>0</v>
      </c>
      <c r="P16" s="464"/>
      <c r="Q16" s="499"/>
      <c r="R16" s="464" t="s">
        <v>401</v>
      </c>
      <c r="S16" s="499">
        <v>10</v>
      </c>
    </row>
    <row r="17" spans="1:19" x14ac:dyDescent="0.15">
      <c r="A17" s="64"/>
      <c r="B17" s="74"/>
      <c r="C17" s="108"/>
      <c r="D17" s="108"/>
      <c r="E17" s="108"/>
      <c r="F17" s="387"/>
      <c r="G17" s="108"/>
      <c r="H17" s="467"/>
      <c r="I17" s="468"/>
      <c r="J17" s="99"/>
      <c r="K17" s="91"/>
      <c r="L17" s="462" t="s">
        <v>338</v>
      </c>
      <c r="M17" s="464"/>
      <c r="N17" s="464"/>
      <c r="O17" s="470"/>
      <c r="P17" s="464"/>
      <c r="Q17" s="470"/>
      <c r="R17" s="464"/>
      <c r="S17" s="470"/>
    </row>
    <row r="18" spans="1:19" x14ac:dyDescent="0.15">
      <c r="A18" s="64"/>
      <c r="B18" s="579" t="s">
        <v>410</v>
      </c>
      <c r="C18" s="579"/>
      <c r="D18" s="451"/>
      <c r="E18" s="451"/>
      <c r="F18" s="89"/>
      <c r="G18" s="451"/>
      <c r="H18" s="451"/>
      <c r="I18" s="451"/>
      <c r="J18" s="99"/>
      <c r="K18" s="91"/>
      <c r="L18" s="462" t="s">
        <v>339</v>
      </c>
      <c r="M18" s="464"/>
      <c r="N18" s="464"/>
      <c r="O18" s="470"/>
      <c r="P18" s="464"/>
      <c r="Q18" s="470"/>
      <c r="R18" s="464"/>
      <c r="S18" s="470"/>
    </row>
    <row r="19" spans="1:19" x14ac:dyDescent="0.15">
      <c r="A19" s="64"/>
      <c r="B19" s="557" t="s">
        <v>14</v>
      </c>
      <c r="C19" s="558"/>
      <c r="D19" s="574" t="s">
        <v>272</v>
      </c>
      <c r="E19" s="558"/>
      <c r="F19" s="454" t="s">
        <v>15</v>
      </c>
      <c r="G19" s="454" t="s">
        <v>16</v>
      </c>
      <c r="H19" s="454" t="s">
        <v>17</v>
      </c>
      <c r="I19" s="561" t="s">
        <v>18</v>
      </c>
      <c r="J19" s="90">
        <v>1</v>
      </c>
      <c r="K19" s="91" t="s">
        <v>331</v>
      </c>
      <c r="L19" s="462" t="str">
        <f>"집재표"&amp;IF(B20="천연림 모두베기",2,IF(B20="인공림 모두베기",3,IF(B20="택벌 및 간벌",4,1)))</f>
        <v>집재표1</v>
      </c>
      <c r="M19" s="496"/>
      <c r="N19" s="247"/>
      <c r="O19" s="247"/>
      <c r="P19" s="247"/>
      <c r="Q19" s="247"/>
      <c r="R19" s="247"/>
      <c r="S19" s="247"/>
    </row>
    <row r="20" spans="1:19" x14ac:dyDescent="0.15">
      <c r="A20" s="64"/>
      <c r="B20" s="559"/>
      <c r="C20" s="560"/>
      <c r="D20" s="575"/>
      <c r="E20" s="560"/>
      <c r="F20" s="455" t="s">
        <v>273</v>
      </c>
      <c r="G20" s="455" t="s">
        <v>19</v>
      </c>
      <c r="H20" s="455" t="s">
        <v>20</v>
      </c>
      <c r="I20" s="562"/>
      <c r="J20" s="90">
        <v>2</v>
      </c>
      <c r="K20" s="91" t="s">
        <v>340</v>
      </c>
      <c r="L20" s="462">
        <f>IF(F20&lt;=15,0,IF(F20&lt;=30,1,2))</f>
        <v>2</v>
      </c>
      <c r="M20" s="496"/>
      <c r="N20" s="247"/>
      <c r="O20" s="247"/>
      <c r="P20" s="247"/>
      <c r="Q20" s="247"/>
      <c r="R20" s="247"/>
      <c r="S20" s="247"/>
    </row>
    <row r="21" spans="1:19" x14ac:dyDescent="0.15">
      <c r="A21" s="64"/>
      <c r="B21" s="586" t="s">
        <v>281</v>
      </c>
      <c r="C21" s="576"/>
      <c r="D21" s="580" t="str">
        <f>IF(D9="급(30도 초과)","중(30도 초과)",IF(D9="중(15-30도이하)","쉬움(15도-30도)","어려움(15도 미만)"))</f>
        <v>쉬움(15도-30도)</v>
      </c>
      <c r="E21" s="581"/>
      <c r="F21" s="83" t="str">
        <f>IF(ISERROR(IF(B21="해당없음","",ROUND(수종별재적표!$H$13/수종별재적표!$D$7,3))),0,IF(B21="해당없음","",ROUND(수종별재적표!$H$13/수종별재적표!$D$7,3)))</f>
        <v/>
      </c>
      <c r="G21" s="92" t="s">
        <v>21</v>
      </c>
      <c r="H21" s="93">
        <v>0</v>
      </c>
      <c r="I21" s="94" t="s">
        <v>444</v>
      </c>
      <c r="J21" s="90">
        <v>3</v>
      </c>
      <c r="K21" s="91" t="s">
        <v>341</v>
      </c>
      <c r="L21" s="462">
        <f>IF(D20="15도미만",2,IF(D20="30도초과",5,8))</f>
        <v>8</v>
      </c>
      <c r="M21" s="247" t="str">
        <f ca="1">IF(ISERROR(IF($B$21="해당없음","",VLOOKUP($G$21,INDIRECT(L19),L22,TRUE))),"",IF($B$21="해당없음","",VLOOKUP($G$21,INDIRECT(L19),L22,TRUE)))</f>
        <v/>
      </c>
      <c r="N21" s="247"/>
      <c r="O21" s="247"/>
      <c r="P21" s="247"/>
      <c r="Q21" s="247"/>
      <c r="R21" s="247"/>
      <c r="S21" s="247"/>
    </row>
    <row r="22" spans="1:19" x14ac:dyDescent="0.15">
      <c r="A22" s="64"/>
      <c r="B22" s="95"/>
      <c r="C22" s="96"/>
      <c r="D22" s="96"/>
      <c r="E22" s="96"/>
      <c r="F22" s="97"/>
      <c r="G22" s="96"/>
      <c r="H22" s="98" t="s">
        <v>21</v>
      </c>
      <c r="I22" s="96"/>
      <c r="J22" s="99">
        <v>4</v>
      </c>
      <c r="K22" s="91" t="s">
        <v>22</v>
      </c>
      <c r="L22" s="462">
        <f>L21+L20</f>
        <v>10</v>
      </c>
      <c r="M22" s="247"/>
      <c r="N22" s="247"/>
      <c r="O22" s="247"/>
      <c r="P22" s="247"/>
      <c r="Q22" s="247"/>
      <c r="R22" s="247"/>
      <c r="S22" s="247"/>
    </row>
    <row r="23" spans="1:19" x14ac:dyDescent="0.15">
      <c r="A23" s="64"/>
      <c r="B23" s="74"/>
      <c r="C23" s="108"/>
      <c r="D23" s="108"/>
      <c r="E23" s="108"/>
      <c r="F23" s="387"/>
      <c r="G23" s="108"/>
      <c r="H23" s="388"/>
      <c r="I23" s="108"/>
      <c r="J23" s="73"/>
      <c r="K23" s="66"/>
      <c r="L23" s="66"/>
      <c r="M23" s="67"/>
      <c r="N23" s="68"/>
    </row>
    <row r="24" spans="1:19" x14ac:dyDescent="0.15">
      <c r="A24" s="64"/>
      <c r="B24" s="549" t="s">
        <v>353</v>
      </c>
      <c r="C24" s="550"/>
      <c r="D24" s="108"/>
      <c r="E24" s="108"/>
      <c r="F24" s="387"/>
      <c r="G24" s="108"/>
      <c r="H24" s="388"/>
      <c r="I24" s="108"/>
      <c r="J24" s="99" t="s">
        <v>342</v>
      </c>
      <c r="K24" s="91" t="s">
        <v>343</v>
      </c>
      <c r="L24" s="91" t="s">
        <v>344</v>
      </c>
      <c r="M24" s="67"/>
      <c r="N24" s="68"/>
    </row>
    <row r="25" spans="1:19" x14ac:dyDescent="0.15">
      <c r="A25" s="64"/>
      <c r="B25" s="551" t="s">
        <v>267</v>
      </c>
      <c r="C25" s="582"/>
      <c r="D25" s="574" t="s">
        <v>268</v>
      </c>
      <c r="E25" s="558"/>
      <c r="F25" s="587" t="s">
        <v>270</v>
      </c>
      <c r="G25" s="587" t="s">
        <v>271</v>
      </c>
      <c r="H25" s="383" t="s">
        <v>17</v>
      </c>
      <c r="I25" s="583" t="s">
        <v>18</v>
      </c>
      <c r="J25" s="91" t="s">
        <v>345</v>
      </c>
      <c r="K25" s="91" t="s">
        <v>345</v>
      </c>
      <c r="L25" s="91">
        <v>0</v>
      </c>
      <c r="M25" s="67"/>
      <c r="N25" s="68"/>
    </row>
    <row r="26" spans="1:19" x14ac:dyDescent="0.15">
      <c r="A26" s="64"/>
      <c r="B26" s="552"/>
      <c r="C26" s="584"/>
      <c r="D26" s="575" t="s">
        <v>269</v>
      </c>
      <c r="E26" s="560"/>
      <c r="F26" s="588"/>
      <c r="G26" s="588"/>
      <c r="H26" s="384" t="s">
        <v>20</v>
      </c>
      <c r="I26" s="585"/>
      <c r="J26" s="91" t="s">
        <v>346</v>
      </c>
      <c r="K26" s="91" t="s">
        <v>347</v>
      </c>
      <c r="L26" s="91">
        <v>0</v>
      </c>
      <c r="M26" s="67"/>
      <c r="N26" s="68"/>
    </row>
    <row r="27" spans="1:19" x14ac:dyDescent="0.15">
      <c r="A27" s="64"/>
      <c r="B27" s="586" t="s">
        <v>281</v>
      </c>
      <c r="C27" s="564"/>
      <c r="D27" s="563" t="s">
        <v>281</v>
      </c>
      <c r="E27" s="576"/>
      <c r="F27" s="92" t="s">
        <v>21</v>
      </c>
      <c r="G27" s="92" t="s">
        <v>21</v>
      </c>
      <c r="H27" s="396">
        <v>0</v>
      </c>
      <c r="I27" s="94" t="s">
        <v>444</v>
      </c>
      <c r="J27" s="91" t="s">
        <v>348</v>
      </c>
      <c r="K27" s="91" t="s">
        <v>349</v>
      </c>
      <c r="L27" s="91">
        <v>5</v>
      </c>
      <c r="M27" s="67"/>
      <c r="N27" s="68"/>
    </row>
    <row r="28" spans="1:19" x14ac:dyDescent="0.15">
      <c r="A28" s="64"/>
      <c r="B28" s="77"/>
      <c r="C28" s="77"/>
      <c r="D28" s="77"/>
      <c r="E28" s="77"/>
      <c r="F28" s="77"/>
      <c r="G28" s="77"/>
      <c r="H28" s="466" t="s">
        <v>352</v>
      </c>
      <c r="I28" s="469">
        <f>IF(ISERROR(VLOOKUP(F27,$J$25:$L$28,3,FALSE)),0,VLOOKUP(F27,$J$25:$L$28,3,FALSE))+IF(ISERROR(VLOOKUP(G27,$K$25:$L$28,2,FALSE)),0,VLOOKUP(G27,$K$25:$L$28,2,FALSE))</f>
        <v>0</v>
      </c>
      <c r="J28" s="462" t="s">
        <v>350</v>
      </c>
      <c r="K28" s="462" t="s">
        <v>351</v>
      </c>
      <c r="L28" s="462">
        <v>10</v>
      </c>
      <c r="M28" s="67"/>
      <c r="N28" s="68"/>
    </row>
    <row r="29" spans="1:19" x14ac:dyDescent="0.15">
      <c r="A29" s="64"/>
      <c r="B29" s="382"/>
      <c r="C29" s="382"/>
      <c r="D29" s="382"/>
      <c r="E29" s="382"/>
      <c r="F29" s="382"/>
      <c r="G29" s="382"/>
      <c r="H29" s="382"/>
      <c r="I29" s="382"/>
      <c r="J29" s="109"/>
      <c r="K29" s="66"/>
      <c r="L29" s="66"/>
      <c r="M29" s="67"/>
      <c r="N29" s="68"/>
    </row>
    <row r="30" spans="1:19" x14ac:dyDescent="0.15">
      <c r="A30" s="64"/>
      <c r="B30" s="549" t="s">
        <v>354</v>
      </c>
      <c r="C30" s="550"/>
      <c r="D30" s="77"/>
      <c r="E30" s="77"/>
      <c r="F30" s="77"/>
      <c r="G30" s="77"/>
      <c r="H30" s="77"/>
      <c r="I30" s="77"/>
      <c r="J30" s="75"/>
      <c r="K30" s="66"/>
      <c r="L30" s="66"/>
      <c r="M30" s="67"/>
      <c r="N30" s="68"/>
    </row>
    <row r="31" spans="1:19" x14ac:dyDescent="0.15">
      <c r="A31" s="64"/>
      <c r="B31" s="551" t="s">
        <v>23</v>
      </c>
      <c r="C31" s="79" t="s">
        <v>24</v>
      </c>
      <c r="D31" s="79" t="s">
        <v>25</v>
      </c>
      <c r="E31" s="79" t="s">
        <v>24</v>
      </c>
      <c r="F31" s="79" t="s">
        <v>26</v>
      </c>
      <c r="G31" s="79" t="s">
        <v>24</v>
      </c>
      <c r="H31" s="582" t="s">
        <v>27</v>
      </c>
      <c r="I31" s="583"/>
      <c r="J31" s="110"/>
      <c r="K31" s="66"/>
      <c r="L31" s="66"/>
      <c r="M31" s="67"/>
      <c r="N31" s="68"/>
    </row>
    <row r="32" spans="1:19" x14ac:dyDescent="0.15">
      <c r="A32" s="64"/>
      <c r="B32" s="552"/>
      <c r="C32" s="81" t="s">
        <v>28</v>
      </c>
      <c r="D32" s="81" t="s">
        <v>29</v>
      </c>
      <c r="E32" s="81" t="s">
        <v>30</v>
      </c>
      <c r="F32" s="81" t="s">
        <v>31</v>
      </c>
      <c r="G32" s="81" t="s">
        <v>32</v>
      </c>
      <c r="H32" s="584"/>
      <c r="I32" s="585"/>
      <c r="J32" s="111"/>
      <c r="K32" s="66"/>
      <c r="L32" s="66"/>
      <c r="M32" s="67"/>
      <c r="N32" s="68"/>
    </row>
    <row r="33" spans="1:14" x14ac:dyDescent="0.15">
      <c r="A33" s="64"/>
      <c r="B33" s="100" t="s">
        <v>21</v>
      </c>
      <c r="C33" s="101">
        <v>0</v>
      </c>
      <c r="D33" s="101">
        <v>0</v>
      </c>
      <c r="E33" s="102" t="str">
        <f>IF(ISNUMBER(C33/D33/2),ROUND(C33/D33/2,1),"")</f>
        <v/>
      </c>
      <c r="F33" s="101">
        <v>0</v>
      </c>
      <c r="G33" s="396">
        <f>IF(E33="",0,ROUND(E33*F33,3))</f>
        <v>0</v>
      </c>
      <c r="H33" s="589" t="s">
        <v>444</v>
      </c>
      <c r="I33" s="590"/>
      <c r="J33" s="75"/>
      <c r="K33" s="66"/>
      <c r="L33" s="66"/>
      <c r="M33" s="67"/>
      <c r="N33" s="68"/>
    </row>
    <row r="34" spans="1:14" x14ac:dyDescent="0.15">
      <c r="A34" s="64"/>
      <c r="B34" s="103"/>
      <c r="C34" s="104"/>
      <c r="D34" s="105"/>
      <c r="E34" s="106"/>
      <c r="F34" s="105"/>
      <c r="G34" s="107"/>
      <c r="H34" s="105"/>
      <c r="I34" s="105"/>
      <c r="J34" s="73"/>
      <c r="K34" s="66"/>
      <c r="L34" s="66"/>
      <c r="M34" s="67"/>
      <c r="N34" s="68"/>
    </row>
    <row r="35" spans="1:14" x14ac:dyDescent="0.15">
      <c r="A35" s="64"/>
      <c r="B35" s="74"/>
      <c r="C35" s="108"/>
      <c r="D35" s="108"/>
      <c r="E35" s="108"/>
      <c r="F35" s="108"/>
      <c r="G35" s="108"/>
      <c r="H35" s="108"/>
      <c r="I35" s="108"/>
      <c r="J35" s="109"/>
      <c r="K35" s="66"/>
      <c r="L35" s="66"/>
      <c r="M35" s="67"/>
      <c r="N35" s="68"/>
    </row>
    <row r="36" spans="1:14" x14ac:dyDescent="0.15">
      <c r="A36" s="64"/>
      <c r="B36" s="86" t="s">
        <v>355</v>
      </c>
      <c r="C36" s="9"/>
      <c r="D36" s="9"/>
      <c r="E36" s="9"/>
      <c r="F36" s="9"/>
      <c r="G36" s="9"/>
      <c r="H36" s="9"/>
      <c r="I36" s="9"/>
      <c r="J36" s="75"/>
      <c r="K36" s="66"/>
      <c r="L36" s="66"/>
      <c r="M36" s="67"/>
      <c r="N36" s="68"/>
    </row>
    <row r="37" spans="1:14" ht="40.5" x14ac:dyDescent="0.15">
      <c r="A37" s="64"/>
      <c r="B37" s="495" t="s">
        <v>388</v>
      </c>
      <c r="C37" s="594" t="s">
        <v>389</v>
      </c>
      <c r="D37" s="595"/>
      <c r="E37" s="591" t="s">
        <v>390</v>
      </c>
      <c r="F37" s="591"/>
      <c r="G37" s="591"/>
      <c r="H37" s="592" t="s">
        <v>391</v>
      </c>
      <c r="I37" s="593"/>
      <c r="J37" s="122"/>
      <c r="K37" s="66"/>
      <c r="L37" s="66"/>
      <c r="M37" s="67"/>
      <c r="N37" s="68"/>
    </row>
    <row r="38" spans="1:14" x14ac:dyDescent="0.15">
      <c r="A38" s="64"/>
      <c r="B38" s="494" t="s">
        <v>445</v>
      </c>
      <c r="C38" s="577" t="s">
        <v>392</v>
      </c>
      <c r="D38" s="578"/>
      <c r="E38" s="598">
        <v>25</v>
      </c>
      <c r="F38" s="598"/>
      <c r="G38" s="598"/>
      <c r="H38" s="589">
        <v>0</v>
      </c>
      <c r="I38" s="590"/>
      <c r="J38" s="122"/>
      <c r="K38" s="66"/>
      <c r="L38" s="66"/>
      <c r="M38" s="67"/>
      <c r="N38" s="68"/>
    </row>
    <row r="39" spans="1:14" x14ac:dyDescent="0.15">
      <c r="A39" s="64"/>
      <c r="B39" s="9"/>
      <c r="C39" s="9"/>
      <c r="D39" s="9"/>
      <c r="E39" s="9"/>
      <c r="F39" s="9"/>
      <c r="G39" s="9"/>
      <c r="H39" s="9"/>
      <c r="I39" s="9"/>
      <c r="J39" s="125"/>
      <c r="K39" s="66"/>
      <c r="L39" s="66"/>
      <c r="M39" s="67"/>
      <c r="N39" s="68"/>
    </row>
    <row r="40" spans="1:14" x14ac:dyDescent="0.15">
      <c r="A40" s="64"/>
      <c r="B40" s="77"/>
      <c r="C40" s="77"/>
      <c r="D40" s="77"/>
      <c r="E40" s="77"/>
      <c r="F40" s="77"/>
      <c r="G40" s="77"/>
      <c r="H40" s="77"/>
      <c r="I40" s="77"/>
      <c r="J40" s="131"/>
      <c r="K40" s="66"/>
      <c r="L40" s="66"/>
      <c r="M40" s="67"/>
      <c r="N40" s="68"/>
    </row>
    <row r="41" spans="1:14" x14ac:dyDescent="0.15">
      <c r="A41" s="64"/>
      <c r="B41" s="86" t="s">
        <v>356</v>
      </c>
      <c r="C41" s="77"/>
      <c r="D41" s="13"/>
      <c r="E41" s="114"/>
      <c r="F41" s="114"/>
      <c r="G41" s="114"/>
      <c r="H41" s="114"/>
      <c r="I41" s="114"/>
      <c r="J41" s="131"/>
      <c r="K41" s="66"/>
      <c r="L41" s="66"/>
      <c r="M41" s="67"/>
      <c r="N41" s="68"/>
    </row>
    <row r="42" spans="1:14" x14ac:dyDescent="0.15">
      <c r="A42" s="64"/>
      <c r="B42" s="115" t="s">
        <v>33</v>
      </c>
      <c r="C42" s="112" t="s">
        <v>34</v>
      </c>
      <c r="D42" s="112" t="s">
        <v>35</v>
      </c>
      <c r="E42" s="112" t="s">
        <v>36</v>
      </c>
      <c r="F42" s="112" t="s">
        <v>37</v>
      </c>
      <c r="G42" s="543" t="s">
        <v>38</v>
      </c>
      <c r="H42" s="595"/>
      <c r="I42" s="116" t="s">
        <v>39</v>
      </c>
      <c r="J42" s="131"/>
      <c r="K42" s="66"/>
      <c r="L42" s="66"/>
      <c r="M42" s="67"/>
      <c r="N42" s="68"/>
    </row>
    <row r="43" spans="1:14" x14ac:dyDescent="0.15">
      <c r="A43" s="64"/>
      <c r="B43" s="117" t="s">
        <v>40</v>
      </c>
      <c r="C43" s="118" t="s">
        <v>41</v>
      </c>
      <c r="D43" s="427" t="s">
        <v>21</v>
      </c>
      <c r="E43" s="119">
        <v>1.5</v>
      </c>
      <c r="F43" s="120" t="str">
        <f>IF(AND(ISNUMBER(D43),ISNUMBER(E43)),ROUNDDOWN(D43/100*E43,1),"")</f>
        <v/>
      </c>
      <c r="G43" s="596">
        <f>IF(F43="",0,ROUND(F43*C62,0))</f>
        <v>0</v>
      </c>
      <c r="H43" s="597"/>
      <c r="I43" s="121" t="s">
        <v>42</v>
      </c>
      <c r="J43" s="71"/>
      <c r="K43" s="66"/>
      <c r="L43" s="66"/>
      <c r="M43" s="67"/>
      <c r="N43" s="68"/>
    </row>
    <row r="44" spans="1:14" x14ac:dyDescent="0.15">
      <c r="A44" s="64"/>
      <c r="B44" s="117" t="s">
        <v>43</v>
      </c>
      <c r="C44" s="118" t="s">
        <v>41</v>
      </c>
      <c r="D44" s="427" t="s">
        <v>21</v>
      </c>
      <c r="E44" s="119">
        <v>4</v>
      </c>
      <c r="F44" s="120" t="str">
        <f>IF(AND(ISNUMBER(D44),ISNUMBER(E44)),ROUNDDOWN(D44/100*E44,1),"")</f>
        <v/>
      </c>
      <c r="G44" s="596">
        <f>IF(F44="",0,ROUND(F44*C62,0))</f>
        <v>0</v>
      </c>
      <c r="H44" s="597"/>
      <c r="I44" s="121" t="s">
        <v>42</v>
      </c>
      <c r="J44" s="71"/>
      <c r="K44" s="66"/>
      <c r="L44" s="66"/>
      <c r="M44" s="67"/>
      <c r="N44" s="68"/>
    </row>
    <row r="45" spans="1:14" x14ac:dyDescent="0.15">
      <c r="A45" s="64"/>
      <c r="B45" s="117" t="s">
        <v>44</v>
      </c>
      <c r="C45" s="118" t="s">
        <v>45</v>
      </c>
      <c r="D45" s="427" t="s">
        <v>21</v>
      </c>
      <c r="E45" s="123">
        <v>0</v>
      </c>
      <c r="F45" s="418" t="str">
        <f>IF(AND(ISNUMBER(D45),ISNUMBER(E45)),IF(D45=0,0,ROUNDDOWN(D45/E45,1)*I45),"")</f>
        <v/>
      </c>
      <c r="G45" s="596">
        <f>IF(D45="",0,ROUND(F45*C62,0))</f>
        <v>0</v>
      </c>
      <c r="H45" s="597"/>
      <c r="I45" s="124">
        <v>0</v>
      </c>
      <c r="J45" s="71"/>
      <c r="K45" s="66"/>
      <c r="L45" s="66"/>
      <c r="M45" s="67"/>
      <c r="N45" s="68"/>
    </row>
    <row r="46" spans="1:14" x14ac:dyDescent="0.15">
      <c r="A46" s="64"/>
      <c r="B46" s="126" t="s">
        <v>300</v>
      </c>
      <c r="C46" s="84"/>
      <c r="D46" s="127"/>
      <c r="E46" s="128"/>
      <c r="F46" s="129"/>
      <c r="G46" s="599">
        <f>IF(수종별재적표!H13=0,0,ROUND(SUM(G43:G45)/수종별재적표!H13,0))</f>
        <v>0</v>
      </c>
      <c r="H46" s="600"/>
      <c r="I46" s="130"/>
      <c r="J46" s="73"/>
      <c r="K46" s="66"/>
      <c r="L46" s="66"/>
      <c r="M46" s="67"/>
      <c r="N46" s="68"/>
    </row>
    <row r="47" spans="1:14" x14ac:dyDescent="0.15">
      <c r="A47" s="64"/>
      <c r="B47" s="390"/>
      <c r="C47" s="4"/>
      <c r="D47" s="391"/>
      <c r="E47" s="390"/>
      <c r="F47" s="392"/>
      <c r="G47" s="393"/>
      <c r="H47" s="393"/>
      <c r="I47" s="392"/>
      <c r="J47" s="71"/>
      <c r="K47" s="66"/>
      <c r="L47" s="66"/>
      <c r="M47" s="67"/>
      <c r="N47" s="68"/>
    </row>
    <row r="48" spans="1:14" x14ac:dyDescent="0.15">
      <c r="A48" s="64"/>
      <c r="B48" s="390"/>
      <c r="C48" s="4"/>
      <c r="D48" s="391"/>
      <c r="E48" s="390"/>
      <c r="F48" s="392"/>
      <c r="G48" s="393"/>
      <c r="H48" s="393"/>
      <c r="I48" s="392"/>
      <c r="J48" s="71"/>
      <c r="K48" s="66"/>
      <c r="L48" s="66"/>
      <c r="M48" s="67"/>
      <c r="N48" s="68"/>
    </row>
    <row r="49" spans="1:14" x14ac:dyDescent="0.15">
      <c r="A49" s="64"/>
      <c r="B49" s="86" t="s">
        <v>357</v>
      </c>
      <c r="C49" s="74"/>
      <c r="D49" s="398">
        <v>3173</v>
      </c>
      <c r="E49" s="74" t="s">
        <v>46</v>
      </c>
      <c r="F49" s="70"/>
      <c r="G49" s="70"/>
      <c r="H49" s="70"/>
      <c r="I49" s="70"/>
      <c r="J49" s="73"/>
      <c r="K49" s="66"/>
      <c r="L49" s="66"/>
      <c r="M49" s="67"/>
      <c r="N49" s="68"/>
    </row>
    <row r="50" spans="1:14" x14ac:dyDescent="0.15">
      <c r="A50" s="64"/>
      <c r="B50" s="457"/>
      <c r="C50" s="74"/>
      <c r="D50" s="74"/>
      <c r="E50" s="74"/>
      <c r="F50" s="70"/>
      <c r="G50" s="70"/>
      <c r="H50" s="70"/>
      <c r="I50" s="70"/>
      <c r="J50" s="73"/>
      <c r="K50" s="66"/>
      <c r="L50" s="66"/>
      <c r="M50" s="67"/>
      <c r="N50" s="68"/>
    </row>
    <row r="51" spans="1:14" x14ac:dyDescent="0.15">
      <c r="A51" s="64"/>
      <c r="B51" s="478" t="s">
        <v>369</v>
      </c>
      <c r="C51" s="456" t="s">
        <v>21</v>
      </c>
      <c r="D51" s="456" t="s">
        <v>367</v>
      </c>
      <c r="E51" s="398">
        <v>0</v>
      </c>
      <c r="F51" s="74" t="s">
        <v>368</v>
      </c>
      <c r="G51" s="70"/>
      <c r="H51" s="70"/>
      <c r="I51" s="70"/>
      <c r="J51" s="73"/>
      <c r="K51" s="66"/>
      <c r="L51" s="66"/>
      <c r="M51" s="67"/>
      <c r="N51" s="68"/>
    </row>
    <row r="52" spans="1:14" x14ac:dyDescent="0.15">
      <c r="A52" s="64"/>
      <c r="B52" s="381"/>
      <c r="C52" s="74"/>
      <c r="D52" s="74"/>
      <c r="E52" s="74"/>
      <c r="F52" s="70"/>
      <c r="G52" s="70"/>
      <c r="H52" s="70"/>
      <c r="I52" s="70"/>
      <c r="J52" s="73"/>
      <c r="K52" s="66"/>
      <c r="L52" s="66"/>
      <c r="M52" s="67"/>
      <c r="N52" s="68"/>
    </row>
    <row r="53" spans="1:14" x14ac:dyDescent="0.15">
      <c r="A53" s="64"/>
      <c r="B53" s="381"/>
      <c r="C53" s="74"/>
      <c r="D53" s="74"/>
      <c r="E53" s="74"/>
      <c r="F53" s="70"/>
      <c r="G53" s="70"/>
      <c r="H53" s="70"/>
      <c r="I53" s="70"/>
      <c r="J53" s="73"/>
      <c r="K53" s="66"/>
      <c r="L53" s="66"/>
      <c r="M53" s="67"/>
      <c r="N53" s="68"/>
    </row>
    <row r="54" spans="1:14" x14ac:dyDescent="0.15">
      <c r="A54" s="64"/>
      <c r="B54" s="86" t="s">
        <v>370</v>
      </c>
      <c r="C54" s="72"/>
      <c r="D54" s="72"/>
      <c r="E54" s="72"/>
      <c r="F54" s="72"/>
      <c r="G54" s="70"/>
      <c r="H54" s="77"/>
      <c r="I54" s="77"/>
      <c r="J54" s="75"/>
      <c r="K54" s="66"/>
      <c r="L54" s="66"/>
      <c r="M54" s="67"/>
      <c r="N54" s="68"/>
    </row>
    <row r="55" spans="1:14" x14ac:dyDescent="0.15">
      <c r="A55" s="64"/>
      <c r="B55" s="77" t="s">
        <v>47</v>
      </c>
      <c r="C55" s="77"/>
      <c r="D55" s="398">
        <v>0</v>
      </c>
      <c r="E55" s="64"/>
      <c r="F55" s="133"/>
      <c r="G55" s="134"/>
      <c r="H55" s="134"/>
      <c r="I55" s="134"/>
      <c r="J55" s="75"/>
      <c r="K55" s="66"/>
      <c r="L55" s="66"/>
      <c r="M55" s="67"/>
      <c r="N55" s="68"/>
    </row>
    <row r="56" spans="1:14" x14ac:dyDescent="0.15">
      <c r="A56" s="64"/>
      <c r="B56" s="77" t="s">
        <v>48</v>
      </c>
      <c r="C56" s="77"/>
      <c r="D56" s="402">
        <f>IF(G56="","",INT(I56*G56/1000))</f>
        <v>620</v>
      </c>
      <c r="E56" s="601" t="s">
        <v>49</v>
      </c>
      <c r="F56" s="601"/>
      <c r="G56" s="132">
        <v>58</v>
      </c>
      <c r="H56" s="135" t="s">
        <v>50</v>
      </c>
      <c r="I56" s="398">
        <v>10704</v>
      </c>
      <c r="J56" s="109"/>
      <c r="K56" s="66"/>
      <c r="L56" s="66"/>
      <c r="M56" s="67"/>
      <c r="N56" s="68"/>
    </row>
    <row r="57" spans="1:14" x14ac:dyDescent="0.15">
      <c r="A57" s="64"/>
      <c r="B57" s="77" t="s">
        <v>51</v>
      </c>
      <c r="C57" s="77"/>
      <c r="D57" s="77"/>
      <c r="E57" s="136">
        <v>0</v>
      </c>
      <c r="F57" s="72" t="s">
        <v>52</v>
      </c>
      <c r="G57" s="64"/>
      <c r="H57" s="77"/>
      <c r="I57" s="77"/>
      <c r="J57" s="109"/>
      <c r="K57" s="66"/>
      <c r="L57" s="66"/>
      <c r="M57" s="67"/>
      <c r="N57" s="68"/>
    </row>
    <row r="58" spans="1:14" x14ac:dyDescent="0.15">
      <c r="A58" s="64"/>
      <c r="B58" s="382"/>
      <c r="C58" s="382"/>
      <c r="D58" s="382"/>
      <c r="E58" s="397"/>
      <c r="F58" s="386"/>
      <c r="G58" s="64"/>
      <c r="H58" s="382"/>
      <c r="I58" s="382"/>
      <c r="J58" s="109"/>
      <c r="K58" s="66"/>
      <c r="L58" s="66"/>
      <c r="M58" s="67"/>
      <c r="N58" s="68"/>
    </row>
    <row r="59" spans="1:14" x14ac:dyDescent="0.15">
      <c r="A59" s="64"/>
      <c r="B59" s="86" t="s">
        <v>371</v>
      </c>
      <c r="C59" s="77"/>
      <c r="D59" s="77"/>
      <c r="E59" s="76" t="str">
        <f>TRIM(E60)</f>
        <v>벌목부</v>
      </c>
      <c r="F59" s="76" t="str">
        <f>TRIM(F60)</f>
        <v>건설기계
운전기사</v>
      </c>
      <c r="G59" s="77"/>
      <c r="H59" s="77"/>
      <c r="I59" s="77"/>
      <c r="J59" s="73"/>
      <c r="K59" s="66"/>
      <c r="L59" s="66"/>
      <c r="M59" s="67"/>
      <c r="N59" s="68"/>
    </row>
    <row r="60" spans="1:14" x14ac:dyDescent="0.15">
      <c r="A60" s="64"/>
      <c r="B60" s="551" t="s">
        <v>53</v>
      </c>
      <c r="C60" s="582" t="s">
        <v>54</v>
      </c>
      <c r="D60" s="582" t="s">
        <v>55</v>
      </c>
      <c r="E60" s="591" t="s">
        <v>56</v>
      </c>
      <c r="F60" s="603" t="s">
        <v>358</v>
      </c>
      <c r="G60" s="137"/>
      <c r="H60" s="137"/>
      <c r="I60" s="138"/>
      <c r="J60" s="73"/>
      <c r="K60" s="73"/>
      <c r="L60" s="66"/>
      <c r="M60" s="67"/>
      <c r="N60" s="68"/>
    </row>
    <row r="61" spans="1:14" x14ac:dyDescent="0.15">
      <c r="A61" s="64"/>
      <c r="B61" s="552"/>
      <c r="C61" s="584"/>
      <c r="D61" s="584"/>
      <c r="E61" s="602"/>
      <c r="F61" s="602"/>
      <c r="G61" s="139"/>
      <c r="H61" s="139"/>
      <c r="I61" s="140"/>
      <c r="J61" s="73"/>
      <c r="K61" s="73"/>
      <c r="L61" s="66"/>
      <c r="M61" s="67"/>
      <c r="N61" s="68"/>
    </row>
    <row r="62" spans="1:14" x14ac:dyDescent="0.15">
      <c r="A62" s="64"/>
      <c r="B62" s="82" t="s">
        <v>57</v>
      </c>
      <c r="C62" s="141">
        <v>141096</v>
      </c>
      <c r="D62" s="141">
        <v>179203</v>
      </c>
      <c r="E62" s="141">
        <v>200000</v>
      </c>
      <c r="F62" s="141">
        <v>212637</v>
      </c>
      <c r="G62" s="141"/>
      <c r="H62" s="141"/>
      <c r="I62" s="142"/>
      <c r="J62" s="73"/>
      <c r="K62" s="73"/>
      <c r="L62" s="66"/>
      <c r="M62" s="67"/>
      <c r="N62" s="68"/>
    </row>
    <row r="63" spans="1:14" x14ac:dyDescent="0.15">
      <c r="A63" s="64"/>
      <c r="B63" s="4"/>
      <c r="C63" s="382"/>
      <c r="D63" s="382"/>
      <c r="E63" s="382"/>
      <c r="F63" s="382"/>
      <c r="G63" s="382"/>
      <c r="H63" s="382"/>
      <c r="I63" s="382"/>
      <c r="J63" s="73"/>
      <c r="K63" s="66"/>
      <c r="L63" s="66"/>
      <c r="M63" s="67"/>
      <c r="N63" s="68"/>
    </row>
    <row r="64" spans="1:14" x14ac:dyDescent="0.15">
      <c r="A64" s="64"/>
      <c r="B64" s="4"/>
      <c r="C64" s="382"/>
      <c r="D64" s="382"/>
      <c r="E64" s="382"/>
      <c r="F64" s="382"/>
      <c r="G64" s="382"/>
      <c r="H64" s="382"/>
      <c r="I64" s="382"/>
      <c r="J64" s="73"/>
      <c r="K64" s="66"/>
      <c r="L64" s="66"/>
      <c r="M64" s="67"/>
      <c r="N64" s="68"/>
    </row>
    <row r="65" spans="1:14" x14ac:dyDescent="0.15">
      <c r="A65" s="64"/>
      <c r="B65" s="86" t="s">
        <v>372</v>
      </c>
      <c r="C65" s="134"/>
      <c r="D65" s="134"/>
      <c r="E65" s="134"/>
      <c r="F65" s="134"/>
      <c r="G65" s="134"/>
      <c r="H65" s="77"/>
      <c r="I65" s="77"/>
      <c r="J65" s="143" t="s">
        <v>59</v>
      </c>
      <c r="K65" s="144">
        <f>IF(ISERROR((D66/12)*(D68/100)),0,(D66/12)*(D68/100))</f>
        <v>8.9333333333333348E-3</v>
      </c>
      <c r="L65" s="66"/>
      <c r="M65" s="66"/>
      <c r="N65" s="66"/>
    </row>
    <row r="66" spans="1:14" x14ac:dyDescent="0.15">
      <c r="A66" s="64"/>
      <c r="B66" s="618" t="s">
        <v>58</v>
      </c>
      <c r="C66" s="618"/>
      <c r="D66" s="132">
        <v>2.68</v>
      </c>
      <c r="E66" s="72"/>
      <c r="F66" s="72"/>
      <c r="G66" s="72"/>
      <c r="H66" s="72"/>
      <c r="I66" s="77"/>
      <c r="J66" s="143" t="s">
        <v>61</v>
      </c>
      <c r="K66" s="144">
        <f>IF(ISERROR(K65+(D69/100)+(D70/100)),0,K65+(D69/100)+(D70/100))</f>
        <v>8.9333333333333348E-3</v>
      </c>
      <c r="L66" s="66"/>
      <c r="M66" s="66"/>
      <c r="N66" s="66"/>
    </row>
    <row r="67" spans="1:14" x14ac:dyDescent="0.15">
      <c r="A67" s="64"/>
      <c r="B67" s="618" t="s">
        <v>60</v>
      </c>
      <c r="C67" s="618"/>
      <c r="D67" s="145" t="str">
        <f>수종별재적표!D9&amp;"월"</f>
        <v>6월</v>
      </c>
      <c r="E67" s="77"/>
      <c r="F67" s="77"/>
      <c r="G67" s="77"/>
      <c r="H67" s="77"/>
      <c r="I67" s="77"/>
      <c r="J67" s="143" t="s">
        <v>63</v>
      </c>
      <c r="K67" s="144">
        <f>ROUNDDOWN(K66/(1+K66),4)</f>
        <v>8.8000000000000005E-3</v>
      </c>
      <c r="L67" s="66"/>
      <c r="M67" s="66"/>
      <c r="N67" s="66"/>
    </row>
    <row r="68" spans="1:14" x14ac:dyDescent="0.15">
      <c r="A68" s="64"/>
      <c r="B68" s="618" t="s">
        <v>62</v>
      </c>
      <c r="C68" s="618"/>
      <c r="D68" s="426">
        <v>4</v>
      </c>
      <c r="E68" s="77"/>
      <c r="F68" s="77"/>
      <c r="G68" s="77"/>
      <c r="H68" s="77"/>
      <c r="I68" s="77"/>
      <c r="J68" s="66"/>
      <c r="K68" s="66"/>
      <c r="L68" s="66"/>
      <c r="M68" s="66"/>
      <c r="N68" s="66"/>
    </row>
    <row r="69" spans="1:14" x14ac:dyDescent="0.15">
      <c r="A69" s="64"/>
      <c r="B69" s="618" t="s">
        <v>64</v>
      </c>
      <c r="C69" s="618"/>
      <c r="D69" s="132">
        <v>0</v>
      </c>
      <c r="E69" s="77"/>
      <c r="F69" s="77"/>
      <c r="G69" s="77"/>
      <c r="H69" s="77"/>
      <c r="I69" s="77"/>
      <c r="J69" s="66"/>
      <c r="K69" s="66"/>
      <c r="L69" s="66"/>
      <c r="M69" s="66"/>
      <c r="N69" s="66"/>
    </row>
    <row r="70" spans="1:14" x14ac:dyDescent="0.15">
      <c r="A70" s="64"/>
      <c r="B70" s="618" t="s">
        <v>65</v>
      </c>
      <c r="C70" s="618"/>
      <c r="D70" s="132">
        <v>0</v>
      </c>
      <c r="E70" s="77"/>
      <c r="F70" s="77"/>
      <c r="G70" s="77"/>
      <c r="H70" s="77"/>
      <c r="I70" s="77"/>
      <c r="J70" s="66"/>
      <c r="K70" s="66"/>
      <c r="L70" s="66"/>
      <c r="M70" s="66"/>
      <c r="N70" s="66"/>
    </row>
    <row r="71" spans="1:14" x14ac:dyDescent="0.15">
      <c r="A71" s="64"/>
      <c r="B71" s="386"/>
      <c r="C71" s="386"/>
      <c r="D71" s="382"/>
      <c r="E71" s="382"/>
      <c r="F71" s="382"/>
      <c r="G71" s="382"/>
      <c r="H71" s="382"/>
      <c r="I71" s="382"/>
      <c r="J71" s="66"/>
      <c r="K71" s="66"/>
      <c r="L71" s="66"/>
      <c r="M71" s="66"/>
      <c r="N71" s="66"/>
    </row>
    <row r="72" spans="1:14" x14ac:dyDescent="0.15">
      <c r="A72" s="64"/>
      <c r="B72" s="77"/>
      <c r="C72" s="77"/>
      <c r="D72" s="77"/>
      <c r="E72" s="77"/>
      <c r="F72" s="77"/>
      <c r="G72" s="77"/>
      <c r="H72" s="77"/>
      <c r="I72" s="77"/>
      <c r="J72" s="66"/>
      <c r="K72" s="66"/>
      <c r="L72" s="66"/>
      <c r="M72" s="66"/>
      <c r="N72" s="66"/>
    </row>
    <row r="73" spans="1:14" x14ac:dyDescent="0.15">
      <c r="A73" s="64"/>
      <c r="B73" s="457" t="s">
        <v>373</v>
      </c>
      <c r="C73" s="86"/>
      <c r="D73" s="77"/>
      <c r="E73" s="77"/>
      <c r="F73" s="77"/>
      <c r="G73" s="77"/>
      <c r="H73" s="77"/>
      <c r="I73" s="135" t="s">
        <v>66</v>
      </c>
      <c r="J73" s="66"/>
      <c r="K73" s="66"/>
      <c r="L73" s="66"/>
      <c r="M73" s="66"/>
      <c r="N73" s="66"/>
    </row>
    <row r="74" spans="1:14" x14ac:dyDescent="0.15">
      <c r="A74" s="64"/>
      <c r="B74" s="540" t="s">
        <v>67</v>
      </c>
      <c r="C74" s="541"/>
      <c r="D74" s="541"/>
      <c r="E74" s="542"/>
      <c r="F74" s="543" t="s">
        <v>68</v>
      </c>
      <c r="G74" s="542"/>
      <c r="H74" s="616"/>
      <c r="I74" s="617"/>
      <c r="J74" s="67"/>
      <c r="K74" s="67"/>
      <c r="L74" s="67"/>
      <c r="M74" s="67"/>
      <c r="N74" s="68"/>
    </row>
    <row r="75" spans="1:14" x14ac:dyDescent="0.15">
      <c r="A75" s="64"/>
      <c r="B75" s="545" t="s">
        <v>69</v>
      </c>
      <c r="C75" s="546"/>
      <c r="D75" s="146" t="s">
        <v>70</v>
      </c>
      <c r="E75" s="146" t="s">
        <v>71</v>
      </c>
      <c r="F75" s="146" t="s">
        <v>70</v>
      </c>
      <c r="G75" s="146" t="s">
        <v>72</v>
      </c>
      <c r="H75" s="147"/>
      <c r="I75" s="148"/>
      <c r="J75" s="67"/>
      <c r="K75" s="67"/>
      <c r="L75" s="67"/>
      <c r="M75" s="67"/>
      <c r="N75" s="68"/>
    </row>
    <row r="76" spans="1:14" x14ac:dyDescent="0.15">
      <c r="A76" s="64"/>
      <c r="B76" s="547" t="s">
        <v>301</v>
      </c>
      <c r="C76" s="548"/>
      <c r="D76" s="84" t="s">
        <v>73</v>
      </c>
      <c r="E76" s="149">
        <v>800000</v>
      </c>
      <c r="F76" s="150">
        <v>5.6</v>
      </c>
      <c r="G76" s="151">
        <v>1411</v>
      </c>
      <c r="H76" s="152"/>
      <c r="I76" s="153"/>
      <c r="J76" s="67"/>
      <c r="K76" s="67"/>
      <c r="L76" s="67"/>
      <c r="M76" s="67"/>
      <c r="N76" s="68"/>
    </row>
    <row r="77" spans="1:14" x14ac:dyDescent="0.15">
      <c r="A77" s="64"/>
      <c r="B77" s="540" t="s">
        <v>359</v>
      </c>
      <c r="C77" s="541"/>
      <c r="D77" s="541"/>
      <c r="E77" s="542"/>
      <c r="F77" s="543" t="s">
        <v>360</v>
      </c>
      <c r="G77" s="542"/>
      <c r="H77" s="543"/>
      <c r="I77" s="544"/>
      <c r="J77" s="67"/>
      <c r="K77" s="67"/>
      <c r="L77" s="67"/>
      <c r="M77" s="67"/>
      <c r="N77" s="68"/>
    </row>
    <row r="78" spans="1:14" x14ac:dyDescent="0.15">
      <c r="A78" s="64"/>
      <c r="B78" s="545" t="s">
        <v>361</v>
      </c>
      <c r="C78" s="546"/>
      <c r="D78" s="459" t="s">
        <v>362</v>
      </c>
      <c r="E78" s="459" t="s">
        <v>363</v>
      </c>
      <c r="F78" s="459" t="s">
        <v>362</v>
      </c>
      <c r="G78" s="459" t="s">
        <v>364</v>
      </c>
      <c r="H78" s="459"/>
      <c r="I78" s="458"/>
      <c r="J78" s="67"/>
      <c r="K78" s="67"/>
      <c r="L78" s="67"/>
      <c r="M78" s="67"/>
      <c r="N78" s="68"/>
    </row>
    <row r="79" spans="1:14" x14ac:dyDescent="0.15">
      <c r="A79" s="64"/>
      <c r="B79" s="547" t="s">
        <v>365</v>
      </c>
      <c r="C79" s="548"/>
      <c r="D79" s="84" t="s">
        <v>366</v>
      </c>
      <c r="E79" s="149">
        <v>60000000</v>
      </c>
      <c r="F79" s="150">
        <v>40</v>
      </c>
      <c r="G79" s="151">
        <v>1230</v>
      </c>
      <c r="H79" s="150"/>
      <c r="I79" s="479"/>
      <c r="J79" s="67"/>
      <c r="K79" s="67"/>
      <c r="L79" s="67"/>
      <c r="M79" s="67"/>
      <c r="N79" s="68"/>
    </row>
    <row r="80" spans="1:14" x14ac:dyDescent="0.15">
      <c r="A80" s="64"/>
      <c r="B80" s="155"/>
      <c r="C80" s="155"/>
      <c r="D80" s="155"/>
      <c r="E80" s="155"/>
      <c r="F80" s="155"/>
      <c r="G80" s="155"/>
      <c r="H80" s="155"/>
      <c r="I80" s="155"/>
      <c r="J80" s="67"/>
      <c r="K80" s="67"/>
      <c r="L80" s="67"/>
      <c r="M80" s="67"/>
      <c r="N80" s="68"/>
    </row>
    <row r="81" spans="1:14" x14ac:dyDescent="0.15">
      <c r="A81" s="64"/>
      <c r="B81" s="154"/>
      <c r="C81" s="113"/>
      <c r="D81" s="4"/>
      <c r="E81" s="155"/>
      <c r="F81" s="156"/>
      <c r="G81" s="157"/>
      <c r="H81" s="156"/>
      <c r="I81" s="157"/>
      <c r="J81" s="67"/>
      <c r="K81" s="67"/>
      <c r="L81" s="67"/>
      <c r="M81" s="164"/>
      <c r="N81" s="68"/>
    </row>
    <row r="82" spans="1:14" x14ac:dyDescent="0.15">
      <c r="A82" s="64"/>
      <c r="B82" s="86" t="s">
        <v>375</v>
      </c>
      <c r="C82" s="158"/>
      <c r="D82" s="159"/>
      <c r="E82" s="77"/>
      <c r="F82" s="77"/>
      <c r="G82" s="77"/>
      <c r="H82" s="77"/>
      <c r="I82" s="77"/>
      <c r="J82" s="67"/>
      <c r="K82" s="67"/>
      <c r="L82" s="67"/>
      <c r="M82" s="165"/>
      <c r="N82" s="68"/>
    </row>
    <row r="83" spans="1:14" x14ac:dyDescent="0.15">
      <c r="A83" s="64"/>
      <c r="B83" s="400" t="s">
        <v>282</v>
      </c>
      <c r="C83" s="134"/>
      <c r="D83" s="419" t="s">
        <v>21</v>
      </c>
      <c r="E83" s="159" t="s">
        <v>299</v>
      </c>
      <c r="F83" s="399"/>
      <c r="G83" s="399"/>
      <c r="H83" s="399"/>
      <c r="I83" s="399"/>
      <c r="J83" s="67"/>
      <c r="K83" s="67"/>
      <c r="L83" s="67"/>
      <c r="M83" s="165"/>
      <c r="N83" s="68"/>
    </row>
    <row r="84" spans="1:14" x14ac:dyDescent="0.15">
      <c r="A84" s="64"/>
      <c r="B84" s="551" t="s">
        <v>5</v>
      </c>
      <c r="C84" s="555" t="s">
        <v>295</v>
      </c>
      <c r="D84" s="574" t="s">
        <v>283</v>
      </c>
      <c r="E84" s="606"/>
      <c r="F84" s="536" t="s">
        <v>374</v>
      </c>
      <c r="G84" s="538"/>
      <c r="H84" s="557" t="s">
        <v>287</v>
      </c>
      <c r="I84" s="606"/>
      <c r="J84" s="67"/>
      <c r="K84" s="67"/>
      <c r="L84" s="67"/>
      <c r="M84" s="165"/>
      <c r="N84" s="68"/>
    </row>
    <row r="85" spans="1:14" x14ac:dyDescent="0.15">
      <c r="A85" s="64"/>
      <c r="B85" s="552"/>
      <c r="C85" s="556"/>
      <c r="D85" s="575"/>
      <c r="E85" s="611"/>
      <c r="F85" s="537"/>
      <c r="G85" s="539"/>
      <c r="H85" s="607"/>
      <c r="I85" s="608"/>
      <c r="J85" s="67"/>
      <c r="K85" s="67"/>
      <c r="L85" s="67"/>
      <c r="M85" s="165"/>
      <c r="N85" s="68"/>
    </row>
    <row r="86" spans="1:14" x14ac:dyDescent="0.15">
      <c r="A86" s="64"/>
      <c r="B86" s="161" t="s">
        <v>0</v>
      </c>
      <c r="C86" s="406" t="s">
        <v>284</v>
      </c>
      <c r="D86" s="612">
        <f>SUM(D87:E104)</f>
        <v>12.01</v>
      </c>
      <c r="E86" s="613"/>
      <c r="F86" s="480">
        <f>SUM(F87:F104)</f>
        <v>0</v>
      </c>
      <c r="G86" s="481"/>
      <c r="H86" s="609" t="s">
        <v>446</v>
      </c>
      <c r="I86" s="610"/>
      <c r="J86" s="162" t="s">
        <v>75</v>
      </c>
      <c r="K86" s="67"/>
      <c r="L86" s="67"/>
      <c r="M86" s="165"/>
      <c r="N86" s="68"/>
    </row>
    <row r="87" spans="1:14" x14ac:dyDescent="0.15">
      <c r="A87" s="64"/>
      <c r="B87" s="163" t="str">
        <f>IF(TRIM(수종별재적표!B14)="","",TRIM(수종별재적표!B14))</f>
        <v>강원지방소나무</v>
      </c>
      <c r="C87" s="415" t="s">
        <v>445</v>
      </c>
      <c r="D87" s="553">
        <v>3.49</v>
      </c>
      <c r="E87" s="554"/>
      <c r="F87" s="482" t="str">
        <f>IF(C87="Y",수종별재적표!H15,"")</f>
        <v/>
      </c>
      <c r="G87" s="481" t="str">
        <f t="shared" ref="G87:G104" si="0">IF(ISNUMBER(J87),J87,"")</f>
        <v/>
      </c>
      <c r="H87" s="403"/>
      <c r="I87" s="350"/>
      <c r="J87" s="164" t="s">
        <v>294</v>
      </c>
      <c r="K87" s="67"/>
      <c r="L87" s="67"/>
      <c r="M87" s="67"/>
      <c r="N87" s="68"/>
    </row>
    <row r="88" spans="1:14" x14ac:dyDescent="0.15">
      <c r="A88" s="64"/>
      <c r="B88" s="163" t="str">
        <f>IF(TRIM(수종별재적표!B15)="","",TRIM(수종별재적표!B15))</f>
        <v>강원지방소나무 산업</v>
      </c>
      <c r="C88" s="415" t="s">
        <v>445</v>
      </c>
      <c r="D88" s="553">
        <v>0.34</v>
      </c>
      <c r="E88" s="554"/>
      <c r="F88" s="482" t="str">
        <f>IF(C88="Y",수종별재적표!H16,"")</f>
        <v/>
      </c>
      <c r="G88" s="481" t="str">
        <f t="shared" si="0"/>
        <v/>
      </c>
      <c r="H88" s="403"/>
      <c r="I88" s="350"/>
      <c r="J88" s="165" t="s">
        <v>296</v>
      </c>
      <c r="K88" s="67"/>
      <c r="L88" s="67"/>
      <c r="M88" s="67"/>
      <c r="N88" s="68"/>
    </row>
    <row r="89" spans="1:14" x14ac:dyDescent="0.15">
      <c r="A89" s="64"/>
      <c r="B89" s="163" t="str">
        <f>IF(TRIM(수종별재적표!B16)="","",TRIM(수종별재적표!B16))</f>
        <v>낙엽송</v>
      </c>
      <c r="C89" s="415" t="s">
        <v>445</v>
      </c>
      <c r="D89" s="553">
        <v>1.1499999999999999</v>
      </c>
      <c r="E89" s="554"/>
      <c r="F89" s="482" t="str">
        <f>IF(C89="Y",수종별재적표!H17,"")</f>
        <v/>
      </c>
      <c r="G89" s="481" t="str">
        <f t="shared" si="0"/>
        <v/>
      </c>
      <c r="H89" s="403"/>
      <c r="I89" s="350"/>
      <c r="J89" s="165" t="str">
        <f>"2. 1항 + 경비(" &amp; B57 &amp;"%)"</f>
        <v>2. 1항 + 경비(  사. 기타경비(벌목·운반비의 3%이내) :%)</v>
      </c>
      <c r="K89" s="67"/>
      <c r="L89" s="67"/>
      <c r="M89" s="67"/>
      <c r="N89" s="68"/>
    </row>
    <row r="90" spans="1:14" x14ac:dyDescent="0.15">
      <c r="A90" s="64"/>
      <c r="B90" s="163" t="str">
        <f>IF(TRIM(수종별재적표!B17)="","",TRIM(수종별재적표!B17))</f>
        <v>낙엽송 산업</v>
      </c>
      <c r="C90" s="415" t="s">
        <v>445</v>
      </c>
      <c r="D90" s="553">
        <v>0.39</v>
      </c>
      <c r="E90" s="554"/>
      <c r="F90" s="482" t="str">
        <f>IF(C90="Y",수종별재적표!H18,"")</f>
        <v/>
      </c>
      <c r="G90" s="481" t="str">
        <f t="shared" si="0"/>
        <v/>
      </c>
      <c r="H90" s="403"/>
      <c r="I90" s="350"/>
      <c r="J90" s="165" t="s">
        <v>297</v>
      </c>
      <c r="K90" s="67"/>
      <c r="L90" s="67"/>
      <c r="M90" s="67"/>
      <c r="N90" s="68"/>
    </row>
    <row r="91" spans="1:14" x14ac:dyDescent="0.15">
      <c r="A91" s="64"/>
      <c r="B91" s="163" t="str">
        <f>IF(TRIM(수종별재적표!B18)="","",TRIM(수종별재적표!B18))</f>
        <v>기타활엽수 산업</v>
      </c>
      <c r="C91" s="415" t="s">
        <v>445</v>
      </c>
      <c r="D91" s="553">
        <v>6.64</v>
      </c>
      <c r="E91" s="554"/>
      <c r="F91" s="482" t="str">
        <f>IF(C91="Y",수종별재적표!H19,"")</f>
        <v/>
      </c>
      <c r="G91" s="481" t="str">
        <f t="shared" si="0"/>
        <v/>
      </c>
      <c r="H91" s="403"/>
      <c r="I91" s="350"/>
      <c r="J91" s="165" t="str">
        <f>"4. 3항 + 경비(" &amp; B57 &amp;"%)"</f>
        <v>4. 3항 + 경비(  사. 기타경비(벌목·운반비의 3%이내) :%)</v>
      </c>
      <c r="K91" s="67"/>
      <c r="L91" s="67"/>
      <c r="M91" s="67"/>
      <c r="N91" s="68"/>
    </row>
    <row r="92" spans="1:14" x14ac:dyDescent="0.15">
      <c r="A92" s="64"/>
      <c r="B92" s="163" t="str">
        <f>IF(TRIM(수종별재적표!B19)="","",TRIM(수종별재적표!B19))</f>
        <v/>
      </c>
      <c r="C92" s="415"/>
      <c r="D92" s="553"/>
      <c r="E92" s="554"/>
      <c r="F92" s="482" t="str">
        <f>IF(C92="Y",수종별재적표!H20,"")</f>
        <v/>
      </c>
      <c r="G92" s="481" t="str">
        <f t="shared" si="0"/>
        <v/>
      </c>
      <c r="H92" s="403"/>
      <c r="I92" s="350"/>
      <c r="J92" s="165" t="s">
        <v>298</v>
      </c>
      <c r="K92" s="67"/>
      <c r="L92" s="67"/>
      <c r="M92" s="67"/>
      <c r="N92" s="68"/>
    </row>
    <row r="93" spans="1:14" x14ac:dyDescent="0.15">
      <c r="A93" s="64"/>
      <c r="B93" s="163" t="str">
        <f>IF(TRIM(수종별재적표!B20)="","",TRIM(수종별재적표!B20))</f>
        <v/>
      </c>
      <c r="C93" s="415"/>
      <c r="D93" s="553"/>
      <c r="E93" s="554"/>
      <c r="F93" s="482" t="str">
        <f>IF(C93="Y",수종별재적표!H21,"")</f>
        <v/>
      </c>
      <c r="G93" s="481" t="str">
        <f t="shared" si="0"/>
        <v/>
      </c>
      <c r="H93" s="403"/>
      <c r="I93" s="350"/>
      <c r="J93" s="67"/>
      <c r="K93" s="67"/>
      <c r="L93" s="67"/>
      <c r="M93" s="67"/>
      <c r="N93" s="68"/>
    </row>
    <row r="94" spans="1:14" x14ac:dyDescent="0.15">
      <c r="A94" s="64"/>
      <c r="B94" s="163" t="str">
        <f>IF(TRIM(수종별재적표!B21)="","",TRIM(수종별재적표!B21))</f>
        <v/>
      </c>
      <c r="C94" s="415"/>
      <c r="D94" s="553"/>
      <c r="E94" s="554"/>
      <c r="F94" s="482" t="str">
        <f>IF(C94="Y",수종별재적표!H22,"")</f>
        <v/>
      </c>
      <c r="G94" s="481" t="str">
        <f t="shared" si="0"/>
        <v/>
      </c>
      <c r="H94" s="403"/>
      <c r="I94" s="350"/>
      <c r="J94" s="67"/>
      <c r="K94" s="67"/>
      <c r="L94" s="67"/>
      <c r="M94" s="67"/>
      <c r="N94" s="68"/>
    </row>
    <row r="95" spans="1:14" x14ac:dyDescent="0.15">
      <c r="A95" s="64"/>
      <c r="B95" s="163" t="str">
        <f>IF(TRIM(수종별재적표!B22)="","",TRIM(수종별재적표!B22))</f>
        <v/>
      </c>
      <c r="C95" s="415"/>
      <c r="D95" s="553"/>
      <c r="E95" s="554"/>
      <c r="F95" s="482" t="str">
        <f>IF(C95="Y",수종별재적표!H23,"")</f>
        <v/>
      </c>
      <c r="G95" s="481" t="str">
        <f t="shared" si="0"/>
        <v/>
      </c>
      <c r="H95" s="403"/>
      <c r="I95" s="350"/>
      <c r="J95" s="67"/>
      <c r="K95" s="67"/>
      <c r="L95" s="67"/>
      <c r="M95" s="67"/>
      <c r="N95" s="68"/>
    </row>
    <row r="96" spans="1:14" x14ac:dyDescent="0.15">
      <c r="A96" s="64"/>
      <c r="B96" s="163" t="str">
        <f>IF(TRIM(수종별재적표!B23)="","",TRIM(수종별재적표!B23))</f>
        <v/>
      </c>
      <c r="C96" s="415"/>
      <c r="D96" s="553"/>
      <c r="E96" s="554"/>
      <c r="F96" s="482" t="str">
        <f>IF(C96="Y",수종별재적표!H24,"")</f>
        <v/>
      </c>
      <c r="G96" s="481" t="str">
        <f t="shared" si="0"/>
        <v/>
      </c>
      <c r="H96" s="403"/>
      <c r="I96" s="350"/>
      <c r="J96" s="67"/>
      <c r="K96" s="67"/>
      <c r="L96" s="67"/>
      <c r="M96" s="67"/>
      <c r="N96" s="68"/>
    </row>
    <row r="97" spans="1:14" x14ac:dyDescent="0.15">
      <c r="A97" s="64"/>
      <c r="B97" s="163" t="str">
        <f>IF(TRIM(수종별재적표!B24)="","",TRIM(수종별재적표!B24))</f>
        <v/>
      </c>
      <c r="C97" s="415"/>
      <c r="D97" s="553"/>
      <c r="E97" s="554"/>
      <c r="F97" s="482" t="str">
        <f>IF(C97="Y",수종별재적표!H25,"")</f>
        <v/>
      </c>
      <c r="G97" s="481" t="str">
        <f t="shared" si="0"/>
        <v/>
      </c>
      <c r="H97" s="403"/>
      <c r="I97" s="350"/>
      <c r="J97" s="67"/>
      <c r="K97" s="67"/>
      <c r="L97" s="67"/>
      <c r="M97" s="67"/>
      <c r="N97" s="68"/>
    </row>
    <row r="98" spans="1:14" x14ac:dyDescent="0.15">
      <c r="A98" s="64"/>
      <c r="B98" s="163" t="str">
        <f>IF(TRIM(수종별재적표!B25)="","",TRIM(수종별재적표!B25))</f>
        <v/>
      </c>
      <c r="C98" s="415"/>
      <c r="D98" s="553"/>
      <c r="E98" s="554"/>
      <c r="F98" s="482" t="str">
        <f>IF(C98="Y",수종별재적표!H26,"")</f>
        <v/>
      </c>
      <c r="G98" s="481" t="str">
        <f t="shared" si="0"/>
        <v/>
      </c>
      <c r="H98" s="403"/>
      <c r="I98" s="350"/>
      <c r="J98" s="67"/>
      <c r="K98" s="67"/>
      <c r="L98" s="67"/>
      <c r="M98" s="67"/>
      <c r="N98" s="68"/>
    </row>
    <row r="99" spans="1:14" x14ac:dyDescent="0.15">
      <c r="A99" s="64"/>
      <c r="B99" s="163" t="str">
        <f>IF(TRIM(수종별재적표!B26)="","",TRIM(수종별재적표!B26))</f>
        <v/>
      </c>
      <c r="C99" s="415"/>
      <c r="D99" s="553"/>
      <c r="E99" s="554"/>
      <c r="F99" s="482" t="str">
        <f>IF(C99="Y",수종별재적표!H27,"")</f>
        <v/>
      </c>
      <c r="G99" s="481" t="str">
        <f t="shared" si="0"/>
        <v/>
      </c>
      <c r="H99" s="403"/>
      <c r="I99" s="350"/>
      <c r="J99" s="67"/>
      <c r="K99" s="67"/>
      <c r="L99" s="67"/>
      <c r="M99" s="67"/>
      <c r="N99" s="68"/>
    </row>
    <row r="100" spans="1:14" x14ac:dyDescent="0.15">
      <c r="A100" s="64"/>
      <c r="B100" s="163" t="str">
        <f>IF(TRIM(수종별재적표!B27)="","",TRIM(수종별재적표!B27))</f>
        <v/>
      </c>
      <c r="C100" s="415"/>
      <c r="D100" s="553"/>
      <c r="E100" s="554"/>
      <c r="F100" s="482" t="str">
        <f>IF(C100="Y",수종별재적표!H28,"")</f>
        <v/>
      </c>
      <c r="G100" s="481" t="str">
        <f t="shared" si="0"/>
        <v/>
      </c>
      <c r="H100" s="403"/>
      <c r="I100" s="350"/>
      <c r="J100" s="67"/>
      <c r="K100" s="67"/>
      <c r="L100" s="67"/>
      <c r="M100" s="67"/>
      <c r="N100" s="68"/>
    </row>
    <row r="101" spans="1:14" x14ac:dyDescent="0.15">
      <c r="A101" s="64"/>
      <c r="B101" s="163" t="str">
        <f>IF(TRIM(수종별재적표!B28)="","",TRIM(수종별재적표!B28))</f>
        <v/>
      </c>
      <c r="C101" s="415"/>
      <c r="D101" s="553"/>
      <c r="E101" s="554"/>
      <c r="F101" s="482" t="str">
        <f>IF(C101="Y",수종별재적표!H29,"")</f>
        <v/>
      </c>
      <c r="G101" s="481" t="str">
        <f t="shared" si="0"/>
        <v/>
      </c>
      <c r="H101" s="403"/>
      <c r="I101" s="350"/>
      <c r="J101" s="67"/>
      <c r="K101" s="67"/>
      <c r="L101" s="67"/>
      <c r="M101" s="67"/>
      <c r="N101" s="68"/>
    </row>
    <row r="102" spans="1:14" x14ac:dyDescent="0.15">
      <c r="A102" s="64"/>
      <c r="B102" s="163" t="str">
        <f>IF(TRIM(수종별재적표!B29)="","",TRIM(수종별재적표!B29))</f>
        <v/>
      </c>
      <c r="C102" s="415"/>
      <c r="D102" s="553"/>
      <c r="E102" s="554"/>
      <c r="F102" s="482" t="str">
        <f>IF(C102="Y",수종별재적표!H30,"")</f>
        <v/>
      </c>
      <c r="G102" s="481" t="str">
        <f t="shared" si="0"/>
        <v/>
      </c>
      <c r="H102" s="403"/>
      <c r="I102" s="350"/>
      <c r="J102" s="67"/>
      <c r="K102" s="67"/>
      <c r="L102" s="67"/>
      <c r="M102" s="67"/>
      <c r="N102" s="68"/>
    </row>
    <row r="103" spans="1:14" x14ac:dyDescent="0.15">
      <c r="A103" s="64"/>
      <c r="B103" s="163" t="str">
        <f>IF(TRIM(수종별재적표!B30)="","",TRIM(수종별재적표!B30))</f>
        <v/>
      </c>
      <c r="C103" s="415"/>
      <c r="D103" s="553"/>
      <c r="E103" s="554"/>
      <c r="F103" s="482" t="str">
        <f>IF(C103="Y",수종별재적표!H31,"")</f>
        <v/>
      </c>
      <c r="G103" s="481" t="str">
        <f t="shared" si="0"/>
        <v/>
      </c>
      <c r="H103" s="403"/>
      <c r="I103" s="350"/>
      <c r="J103" s="160"/>
      <c r="K103" s="160"/>
      <c r="L103" s="160"/>
      <c r="M103" s="67"/>
      <c r="N103" s="68"/>
    </row>
    <row r="104" spans="1:14" x14ac:dyDescent="0.15">
      <c r="A104" s="64"/>
      <c r="B104" s="166" t="str">
        <f>IF(TRIM(수종별재적표!B32)="","",TRIM(수종별재적표!B32))</f>
        <v/>
      </c>
      <c r="C104" s="416"/>
      <c r="D104" s="604"/>
      <c r="E104" s="605"/>
      <c r="F104" s="483" t="str">
        <f>IF(C104="Y",수종별재적표!H32,"")</f>
        <v/>
      </c>
      <c r="G104" s="484" t="str">
        <f t="shared" si="0"/>
        <v/>
      </c>
      <c r="H104" s="404"/>
      <c r="I104" s="405"/>
      <c r="J104" s="160"/>
      <c r="K104" s="160"/>
      <c r="L104" s="160"/>
      <c r="M104" s="67"/>
      <c r="N104" s="68"/>
    </row>
    <row r="105" spans="1:14" x14ac:dyDescent="0.15">
      <c r="A105" s="64"/>
      <c r="B105" s="167"/>
      <c r="C105" s="1"/>
      <c r="D105" s="1"/>
      <c r="E105" s="1"/>
      <c r="F105" s="399"/>
      <c r="G105" s="399"/>
      <c r="H105" s="399"/>
      <c r="I105" s="399"/>
    </row>
    <row r="106" spans="1:14" x14ac:dyDescent="0.15">
      <c r="A106" s="64"/>
      <c r="B106" s="9"/>
      <c r="C106" s="9"/>
      <c r="D106" s="9"/>
      <c r="E106" s="9"/>
      <c r="F106" s="9"/>
      <c r="G106" s="9"/>
      <c r="H106" s="9"/>
      <c r="I106" s="9"/>
    </row>
    <row r="107" spans="1:14" x14ac:dyDescent="0.15">
      <c r="A107" s="64"/>
      <c r="B107" s="549" t="s">
        <v>376</v>
      </c>
      <c r="C107" s="550"/>
      <c r="D107" s="1"/>
      <c r="E107" s="1"/>
      <c r="F107" s="1"/>
      <c r="G107" s="1"/>
      <c r="H107" s="1"/>
      <c r="I107" s="1"/>
    </row>
    <row r="108" spans="1:14" x14ac:dyDescent="0.15">
      <c r="A108" s="64"/>
      <c r="B108" s="527" t="s">
        <v>21</v>
      </c>
      <c r="C108" s="528"/>
      <c r="D108" s="528"/>
      <c r="E108" s="528"/>
      <c r="F108" s="528"/>
      <c r="G108" s="528"/>
      <c r="H108" s="528"/>
      <c r="I108" s="529"/>
    </row>
    <row r="109" spans="1:14" x14ac:dyDescent="0.15">
      <c r="A109" s="64"/>
      <c r="B109" s="530"/>
      <c r="C109" s="531"/>
      <c r="D109" s="531"/>
      <c r="E109" s="531"/>
      <c r="F109" s="531"/>
      <c r="G109" s="531"/>
      <c r="H109" s="531"/>
      <c r="I109" s="532"/>
    </row>
    <row r="110" spans="1:14" x14ac:dyDescent="0.15">
      <c r="A110" s="64"/>
      <c r="B110" s="533"/>
      <c r="C110" s="534"/>
      <c r="D110" s="534"/>
      <c r="E110" s="534"/>
      <c r="F110" s="534"/>
      <c r="G110" s="534"/>
      <c r="H110" s="534"/>
      <c r="I110" s="535"/>
    </row>
    <row r="111" spans="1:14" x14ac:dyDescent="0.15">
      <c r="A111" s="64"/>
    </row>
  </sheetData>
  <protectedRanges>
    <protectedRange sqref="H9" name="범위1_1"/>
    <protectedRange sqref="D9:G9" name="범위1_1_1"/>
    <protectedRange sqref="B9" name="범위1_1_2"/>
  </protectedRanges>
  <mergeCells count="97">
    <mergeCell ref="D86:E86"/>
    <mergeCell ref="N12:O12"/>
    <mergeCell ref="P12:Q12"/>
    <mergeCell ref="R12:S12"/>
    <mergeCell ref="B12:C12"/>
    <mergeCell ref="H13:H14"/>
    <mergeCell ref="B21:C21"/>
    <mergeCell ref="F74:G74"/>
    <mergeCell ref="H74:I74"/>
    <mergeCell ref="B75:C75"/>
    <mergeCell ref="B76:C76"/>
    <mergeCell ref="B66:C66"/>
    <mergeCell ref="B67:C67"/>
    <mergeCell ref="B68:C68"/>
    <mergeCell ref="B69:C69"/>
    <mergeCell ref="B70:C70"/>
    <mergeCell ref="D103:E103"/>
    <mergeCell ref="D104:E104"/>
    <mergeCell ref="D100:E100"/>
    <mergeCell ref="D101:E101"/>
    <mergeCell ref="H84:I85"/>
    <mergeCell ref="H86:I86"/>
    <mergeCell ref="D97:E97"/>
    <mergeCell ref="D98:E98"/>
    <mergeCell ref="D99:E99"/>
    <mergeCell ref="D92:E92"/>
    <mergeCell ref="D93:E93"/>
    <mergeCell ref="D94:E94"/>
    <mergeCell ref="D95:E95"/>
    <mergeCell ref="D96:E96"/>
    <mergeCell ref="D87:E87"/>
    <mergeCell ref="D84:E85"/>
    <mergeCell ref="B74:E74"/>
    <mergeCell ref="G46:H46"/>
    <mergeCell ref="E56:F56"/>
    <mergeCell ref="B60:B61"/>
    <mergeCell ref="C60:C61"/>
    <mergeCell ref="D60:D61"/>
    <mergeCell ref="E60:E61"/>
    <mergeCell ref="F60:F61"/>
    <mergeCell ref="G42:H42"/>
    <mergeCell ref="G43:H43"/>
    <mergeCell ref="G44:H44"/>
    <mergeCell ref="G45:H45"/>
    <mergeCell ref="E38:G38"/>
    <mergeCell ref="H38:I38"/>
    <mergeCell ref="H33:I33"/>
    <mergeCell ref="B30:C30"/>
    <mergeCell ref="E37:G37"/>
    <mergeCell ref="H37:I37"/>
    <mergeCell ref="C37:D37"/>
    <mergeCell ref="C38:D38"/>
    <mergeCell ref="B18:C18"/>
    <mergeCell ref="I19:I20"/>
    <mergeCell ref="D21:E21"/>
    <mergeCell ref="B31:B32"/>
    <mergeCell ref="H31:I32"/>
    <mergeCell ref="B24:C24"/>
    <mergeCell ref="B25:C26"/>
    <mergeCell ref="I25:I26"/>
    <mergeCell ref="B27:C27"/>
    <mergeCell ref="D27:E27"/>
    <mergeCell ref="D25:E25"/>
    <mergeCell ref="D26:E26"/>
    <mergeCell ref="F25:F26"/>
    <mergeCell ref="G25:G26"/>
    <mergeCell ref="D19:E20"/>
    <mergeCell ref="B19:C20"/>
    <mergeCell ref="I7:I8"/>
    <mergeCell ref="D9:E9"/>
    <mergeCell ref="B1:I1"/>
    <mergeCell ref="B3:C3"/>
    <mergeCell ref="B4:C4"/>
    <mergeCell ref="D4:E4"/>
    <mergeCell ref="F4:G4"/>
    <mergeCell ref="H4:I4"/>
    <mergeCell ref="B6:C6"/>
    <mergeCell ref="B7:B8"/>
    <mergeCell ref="D7:E8"/>
    <mergeCell ref="F7:G8"/>
    <mergeCell ref="F9:G9"/>
    <mergeCell ref="B108:I110"/>
    <mergeCell ref="F84:F85"/>
    <mergeCell ref="G84:G85"/>
    <mergeCell ref="B77:E77"/>
    <mergeCell ref="F77:G77"/>
    <mergeCell ref="H77:I77"/>
    <mergeCell ref="B78:C78"/>
    <mergeCell ref="B79:C79"/>
    <mergeCell ref="B107:C107"/>
    <mergeCell ref="B84:B85"/>
    <mergeCell ref="D88:E88"/>
    <mergeCell ref="D89:E89"/>
    <mergeCell ref="D90:E90"/>
    <mergeCell ref="D91:E91"/>
    <mergeCell ref="C84:C85"/>
    <mergeCell ref="D102:E102"/>
  </mergeCells>
  <phoneticPr fontId="3" type="noConversion"/>
  <dataValidations count="13">
    <dataValidation type="list" allowBlank="1" showInputMessage="1" showErrorMessage="1" sqref="I15" xr:uid="{00000000-0002-0000-0300-000000000000}">
      <formula1>$R$13:$R$16</formula1>
    </dataValidation>
    <dataValidation type="list" allowBlank="1" showInputMessage="1" showErrorMessage="1" sqref="H15" xr:uid="{00000000-0002-0000-0300-000001000000}">
      <formula1>$P$13:$P$15</formula1>
    </dataValidation>
    <dataValidation type="list" allowBlank="1" showInputMessage="1" showErrorMessage="1" sqref="G15" xr:uid="{00000000-0002-0000-0300-000002000000}">
      <formula1>$N$13:$N$16</formula1>
    </dataValidation>
    <dataValidation type="list" allowBlank="1" showInputMessage="1" showErrorMessage="1" sqref="E15" xr:uid="{00000000-0002-0000-0300-000003000000}">
      <formula1>$L$13:$L$18</formula1>
    </dataValidation>
    <dataValidation type="list" allowBlank="1" showInputMessage="1" showErrorMessage="1" sqref="C15" xr:uid="{00000000-0002-0000-0300-000004000000}">
      <formula1>$K$13:$K$15</formula1>
    </dataValidation>
    <dataValidation type="list" allowBlank="1" showInputMessage="1" showErrorMessage="1" sqref="B15" xr:uid="{00000000-0002-0000-0300-000005000000}">
      <formula1>$J$13:$J$14</formula1>
    </dataValidation>
    <dataValidation type="list" allowBlank="1" showInputMessage="1" showErrorMessage="1" sqref="B21:C21" xr:uid="{00000000-0002-0000-0300-000006000000}">
      <formula1>$K$20:$K$22</formula1>
    </dataValidation>
    <dataValidation type="list" allowBlank="1" showInputMessage="1" showErrorMessage="1" sqref="F27" xr:uid="{00000000-0002-0000-0300-000007000000}">
      <formula1>$J$25:$J$28</formula1>
    </dataValidation>
    <dataValidation type="list" allowBlank="1" showInputMessage="1" showErrorMessage="1" sqref="G27" xr:uid="{00000000-0002-0000-0300-000008000000}">
      <formula1>$K$25:$K$28</formula1>
    </dataValidation>
    <dataValidation type="list" allowBlank="1" showInputMessage="1" showErrorMessage="1" sqref="F9:G9" xr:uid="{00000000-0002-0000-0300-000009000000}">
      <formula1>$M$7:$M$10</formula1>
    </dataValidation>
    <dataValidation type="list" allowBlank="1" showInputMessage="1" showErrorMessage="1" sqref="D9:E9" xr:uid="{00000000-0002-0000-0300-00000A000000}">
      <formula1>$L$8:$L$10</formula1>
    </dataValidation>
    <dataValidation type="list" allowBlank="1" showInputMessage="1" showErrorMessage="1" sqref="C9" xr:uid="{00000000-0002-0000-0300-00000B000000}">
      <formula1>$K$7:$K$10</formula1>
    </dataValidation>
    <dataValidation type="list" allowBlank="1" showInputMessage="1" showErrorMessage="1" sqref="B9" xr:uid="{00000000-0002-0000-0300-00000C000000}">
      <formula1>$J$7:$J$8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1">
    <pageSetUpPr fitToPage="1"/>
  </sheetPr>
  <dimension ref="A1:M108"/>
  <sheetViews>
    <sheetView zoomScaleNormal="100" workbookViewId="0">
      <selection sqref="A1:G1"/>
    </sheetView>
  </sheetViews>
  <sheetFormatPr defaultRowHeight="16.5" x14ac:dyDescent="0.3"/>
  <cols>
    <col min="2" max="2" width="17.375" bestFit="1" customWidth="1"/>
    <col min="3" max="3" width="10.5" customWidth="1"/>
    <col min="4" max="4" width="10.125" customWidth="1"/>
    <col min="5" max="5" width="12.25" customWidth="1"/>
    <col min="6" max="6" width="10.875" customWidth="1"/>
    <col min="7" max="7" width="13.125" customWidth="1"/>
    <col min="8" max="13" width="0" hidden="1" customWidth="1"/>
  </cols>
  <sheetData>
    <row r="1" spans="1:13" ht="22.5" x14ac:dyDescent="0.15">
      <c r="A1" s="633" t="s">
        <v>91</v>
      </c>
      <c r="B1" s="633"/>
      <c r="C1" s="633"/>
      <c r="D1" s="633"/>
      <c r="E1" s="633"/>
      <c r="F1" s="633"/>
      <c r="G1" s="633"/>
      <c r="H1" s="175"/>
      <c r="I1" s="176"/>
      <c r="J1" s="176"/>
      <c r="K1" s="176"/>
      <c r="L1" s="176"/>
      <c r="M1" s="176"/>
    </row>
    <row r="2" spans="1:13" x14ac:dyDescent="0.15">
      <c r="A2" s="134"/>
      <c r="B2" s="134"/>
      <c r="C2" s="134"/>
      <c r="D2" s="134"/>
      <c r="E2" s="134"/>
      <c r="F2" s="134"/>
      <c r="G2" s="134"/>
      <c r="H2" s="175"/>
      <c r="I2" s="176"/>
      <c r="J2" s="176"/>
      <c r="K2" s="176"/>
      <c r="L2" s="176"/>
      <c r="M2" s="176"/>
    </row>
    <row r="3" spans="1:13" ht="18.75" x14ac:dyDescent="0.15">
      <c r="A3" s="177" t="s">
        <v>92</v>
      </c>
      <c r="B3" s="134"/>
      <c r="C3" s="178" t="str">
        <f>수종별재적표!D3</f>
        <v>강릉 54임반 4(라)소반 외 1 개소</v>
      </c>
      <c r="D3" s="134"/>
      <c r="E3" s="134"/>
      <c r="F3" s="134"/>
      <c r="G3" s="134"/>
      <c r="H3" s="175"/>
      <c r="I3" s="176"/>
      <c r="J3" s="176"/>
      <c r="K3" s="176"/>
      <c r="L3" s="176"/>
      <c r="M3" s="176"/>
    </row>
    <row r="4" spans="1:13" x14ac:dyDescent="0.3">
      <c r="A4" s="179"/>
      <c r="B4" s="179"/>
      <c r="C4" s="179"/>
      <c r="D4" s="179"/>
      <c r="E4" s="179"/>
      <c r="F4" s="179"/>
      <c r="G4" s="179"/>
      <c r="H4" s="180"/>
      <c r="I4" s="181"/>
      <c r="J4" s="181"/>
      <c r="K4" s="181"/>
      <c r="L4" s="181"/>
      <c r="M4" s="181"/>
    </row>
    <row r="5" spans="1:13" ht="18.75" x14ac:dyDescent="0.15">
      <c r="A5" s="634" t="s">
        <v>93</v>
      </c>
      <c r="B5" s="637" t="s">
        <v>94</v>
      </c>
      <c r="C5" s="637"/>
      <c r="D5" s="637"/>
      <c r="E5" s="637" t="s">
        <v>95</v>
      </c>
      <c r="F5" s="638"/>
      <c r="G5" s="182" t="s">
        <v>96</v>
      </c>
      <c r="H5" s="183"/>
      <c r="I5" s="68"/>
      <c r="J5" s="68"/>
      <c r="K5" s="68"/>
      <c r="L5" s="68"/>
      <c r="M5" s="68"/>
    </row>
    <row r="6" spans="1:13" ht="18.75" x14ac:dyDescent="0.15">
      <c r="A6" s="635"/>
      <c r="B6" s="639" t="s">
        <v>97</v>
      </c>
      <c r="C6" s="184" t="s">
        <v>98</v>
      </c>
      <c r="D6" s="184" t="s">
        <v>99</v>
      </c>
      <c r="E6" s="639" t="s">
        <v>100</v>
      </c>
      <c r="F6" s="639" t="s">
        <v>101</v>
      </c>
      <c r="G6" s="185" t="s">
        <v>102</v>
      </c>
      <c r="H6" s="183"/>
      <c r="I6" s="68"/>
      <c r="J6" s="68"/>
      <c r="K6" s="68"/>
      <c r="L6" s="68"/>
      <c r="M6" s="68"/>
    </row>
    <row r="7" spans="1:13" ht="17.25" thickBot="1" x14ac:dyDescent="0.2">
      <c r="A7" s="636"/>
      <c r="B7" s="640"/>
      <c r="C7" s="186" t="s">
        <v>103</v>
      </c>
      <c r="D7" s="186" t="s">
        <v>104</v>
      </c>
      <c r="E7" s="641"/>
      <c r="F7" s="641"/>
      <c r="G7" s="187" t="s">
        <v>105</v>
      </c>
      <c r="H7" s="183"/>
      <c r="I7" s="68"/>
      <c r="J7" s="68"/>
      <c r="K7" s="68"/>
      <c r="L7" s="68"/>
      <c r="M7" s="68"/>
    </row>
    <row r="8" spans="1:13" ht="17.25" thickTop="1" x14ac:dyDescent="0.15">
      <c r="A8" s="619" t="str">
        <f>IF(시가!E4="","",시가!E4)</f>
        <v>동해시</v>
      </c>
      <c r="B8" s="622" t="s">
        <v>285</v>
      </c>
      <c r="C8" s="624">
        <f>IF(A8="","",기본자료!$E$38)</f>
        <v>25</v>
      </c>
      <c r="D8" s="626">
        <f>IF(C8="","",시가!E$3)</f>
        <v>25</v>
      </c>
      <c r="E8" s="188" t="str">
        <f>IF(C8="","","침엽수")</f>
        <v>침엽수</v>
      </c>
      <c r="F8" s="189">
        <v>11100</v>
      </c>
      <c r="G8" s="190" t="s">
        <v>442</v>
      </c>
      <c r="H8" s="422">
        <f>IF(OR(G8="적용",G10="적용"),1,0)</f>
        <v>1</v>
      </c>
      <c r="I8" s="68"/>
      <c r="J8" s="68"/>
      <c r="K8" s="68"/>
      <c r="L8" s="68"/>
      <c r="M8" s="68"/>
    </row>
    <row r="9" spans="1:13" x14ac:dyDescent="0.15">
      <c r="A9" s="620"/>
      <c r="B9" s="623"/>
      <c r="C9" s="625"/>
      <c r="D9" s="627"/>
      <c r="E9" s="191" t="str">
        <f>IF(C8="","","활엽수")</f>
        <v>활엽수</v>
      </c>
      <c r="F9" s="192">
        <v>13700</v>
      </c>
      <c r="G9" s="193" t="s">
        <v>442</v>
      </c>
      <c r="H9" s="68"/>
      <c r="I9" s="68"/>
      <c r="J9" s="194"/>
      <c r="K9" s="194" t="s">
        <v>106</v>
      </c>
      <c r="L9" s="194" t="s">
        <v>107</v>
      </c>
      <c r="M9" s="195" t="s">
        <v>108</v>
      </c>
    </row>
    <row r="10" spans="1:13" x14ac:dyDescent="0.15">
      <c r="A10" s="620"/>
      <c r="B10" s="628" t="s">
        <v>286</v>
      </c>
      <c r="C10" s="425" t="str">
        <f>IF(A8="","",기본자료!$B$38)</f>
        <v>N</v>
      </c>
      <c r="D10" s="196">
        <f>IF(C10="","",기본자료!$H$38)</f>
        <v>0</v>
      </c>
      <c r="E10" s="197" t="str">
        <f>IF(C10="","","침엽수")</f>
        <v>침엽수</v>
      </c>
      <c r="F10" s="198">
        <v>11100</v>
      </c>
      <c r="G10" s="199" t="s">
        <v>21</v>
      </c>
      <c r="H10" s="68"/>
      <c r="I10" s="68"/>
      <c r="J10" s="194" t="str">
        <f>A8</f>
        <v>동해시</v>
      </c>
      <c r="K10" s="421">
        <f>IF($H8=0,0,IF($G8="",IF($G10="적용",$F10,0),IF($G8="적용",$F8,0)))</f>
        <v>11100</v>
      </c>
      <c r="L10" s="421">
        <f>IF($H8=0,0,IF($G9="",IF($G11="적용",$F11,0),IF($G9="적용",$F9,0)))</f>
        <v>13700</v>
      </c>
      <c r="M10" s="200">
        <v>0</v>
      </c>
    </row>
    <row r="11" spans="1:13" ht="17.25" thickBot="1" x14ac:dyDescent="0.2">
      <c r="A11" s="620"/>
      <c r="B11" s="629"/>
      <c r="C11" s="201">
        <f>C8</f>
        <v>25</v>
      </c>
      <c r="D11" s="423">
        <f>IF(C11="","",시가!E3-D10)</f>
        <v>25</v>
      </c>
      <c r="E11" s="191" t="str">
        <f>IF(C10="","","활엽수")</f>
        <v>활엽수</v>
      </c>
      <c r="F11" s="202">
        <v>13700</v>
      </c>
      <c r="G11" s="193" t="s">
        <v>21</v>
      </c>
      <c r="H11" s="68"/>
      <c r="I11" s="68"/>
      <c r="J11" s="194" t="str">
        <f>A12</f>
        <v>강릉시</v>
      </c>
      <c r="K11" s="421">
        <f>IF($H12=0,0,IF($G12="",IF($G14="적용",$F14,0),IF($G12="적용",$F12,0)))</f>
        <v>11100</v>
      </c>
      <c r="L11" s="421">
        <f>IF($H12=0,0,IF($G13="",IF($G15="적용",$F15,0),IF($G13="적용",$F13,0)))</f>
        <v>13700</v>
      </c>
      <c r="M11" s="200">
        <v>0</v>
      </c>
    </row>
    <row r="12" spans="1:13" ht="17.25" thickTop="1" x14ac:dyDescent="0.15">
      <c r="A12" s="619" t="str">
        <f>IF(시가!F4="","",시가!F4)</f>
        <v>강릉시</v>
      </c>
      <c r="B12" s="622" t="s">
        <v>285</v>
      </c>
      <c r="C12" s="624">
        <f>IF(A12="","",기본자료!$E$38)</f>
        <v>25</v>
      </c>
      <c r="D12" s="626">
        <f>IF(C12="","",시가!F$3)</f>
        <v>32</v>
      </c>
      <c r="E12" s="188" t="str">
        <f>IF(C12="","","침엽수")</f>
        <v>침엽수</v>
      </c>
      <c r="F12" s="189">
        <v>11100</v>
      </c>
      <c r="G12" s="190" t="s">
        <v>442</v>
      </c>
      <c r="H12" s="422">
        <f>IF(OR(G12="적용",G14="적용"),1,0)</f>
        <v>1</v>
      </c>
      <c r="I12" s="68"/>
      <c r="J12" s="194" t="str">
        <f>A16</f>
        <v>삼척시</v>
      </c>
      <c r="K12" s="421">
        <f>IF($H16=0,0,IF($G16="",IF($G18="적용",$F18,0),IF($G16="적용",$F16,0)))</f>
        <v>11100</v>
      </c>
      <c r="L12" s="421">
        <f>IF($H16=0,0,IF($G17="",IF($G19="적용",$F19,0),IF($G17="적용",$F17,0)))</f>
        <v>13700</v>
      </c>
      <c r="M12" s="200">
        <v>0</v>
      </c>
    </row>
    <row r="13" spans="1:13" x14ac:dyDescent="0.15">
      <c r="A13" s="620"/>
      <c r="B13" s="623"/>
      <c r="C13" s="625"/>
      <c r="D13" s="627"/>
      <c r="E13" s="191" t="str">
        <f>IF(C12="","","활엽수")</f>
        <v>활엽수</v>
      </c>
      <c r="F13" s="192">
        <v>13700</v>
      </c>
      <c r="G13" s="193" t="s">
        <v>442</v>
      </c>
      <c r="H13" s="68"/>
      <c r="I13" s="68"/>
      <c r="J13" s="194" t="str">
        <f>A20</f>
        <v>양양군</v>
      </c>
      <c r="K13" s="421">
        <f>IF($H20=0,0,IF($G20="",IF($G22="적용",$F22,0),IF($G20="적용",$F20,0)))</f>
        <v>13200</v>
      </c>
      <c r="L13" s="421">
        <f>IF($H20=0,0,IF($G21="",IF($G23="적용",$F23,0),IF($G21="적용",$F21,0)))</f>
        <v>14700</v>
      </c>
      <c r="M13" s="200">
        <v>0</v>
      </c>
    </row>
    <row r="14" spans="1:13" x14ac:dyDescent="0.15">
      <c r="A14" s="620"/>
      <c r="B14" s="628" t="s">
        <v>286</v>
      </c>
      <c r="C14" s="425" t="str">
        <f>IF(A12="","",기본자료!$B$38)</f>
        <v>N</v>
      </c>
      <c r="D14" s="196">
        <f>IF(C14="","",기본자료!$H$38)</f>
        <v>0</v>
      </c>
      <c r="E14" s="197" t="str">
        <f>IF(C14="","","침엽수")</f>
        <v>침엽수</v>
      </c>
      <c r="F14" s="198">
        <v>11100</v>
      </c>
      <c r="G14" s="199" t="s">
        <v>21</v>
      </c>
      <c r="H14" s="68"/>
      <c r="I14" s="68"/>
      <c r="J14" s="194" t="str">
        <f>A24</f>
        <v>영주시</v>
      </c>
      <c r="K14" s="421">
        <f>IF($H24=0,0,IF($G24="",IF($G26="적용",$F26,0),IF($G24="적용",$F24,0)))</f>
        <v>17300</v>
      </c>
      <c r="L14" s="421">
        <f>IF($H24=0,0,IF($G25="",IF($G27="적용",$F27,0),IF($G25="적용",$F25,0)))</f>
        <v>19400</v>
      </c>
      <c r="M14" s="200">
        <v>0</v>
      </c>
    </row>
    <row r="15" spans="1:13" ht="17.25" thickBot="1" x14ac:dyDescent="0.2">
      <c r="A15" s="621"/>
      <c r="B15" s="629"/>
      <c r="C15" s="424">
        <f>C12</f>
        <v>25</v>
      </c>
      <c r="D15" s="423">
        <f>IF(C15="","",시가!F3-D14)</f>
        <v>32</v>
      </c>
      <c r="E15" s="191" t="str">
        <f>IF(C14="","","활엽수")</f>
        <v>활엽수</v>
      </c>
      <c r="F15" s="202">
        <v>13700</v>
      </c>
      <c r="G15" s="193" t="s">
        <v>21</v>
      </c>
      <c r="H15" s="68"/>
      <c r="I15" s="68"/>
      <c r="J15" s="194" t="str">
        <f>A28</f>
        <v>안동시</v>
      </c>
      <c r="K15" s="421">
        <f>IF($H28=0,0,IF($G28="",IF($G30="적용",$F30,0),IF($G28="적용",$F28,0)))</f>
        <v>18800</v>
      </c>
      <c r="L15" s="421">
        <f>IF($H28=0,0,IF($G29="",IF($G31="적용",$F31,0),IF($G29="적용",$F29,0)))</f>
        <v>20900</v>
      </c>
      <c r="M15" s="200">
        <v>0</v>
      </c>
    </row>
    <row r="16" spans="1:13" ht="17.25" thickTop="1" x14ac:dyDescent="0.15">
      <c r="A16" s="619" t="str">
        <f>IF(시가!G4="","",시가!G4)</f>
        <v>삼척시</v>
      </c>
      <c r="B16" s="622" t="s">
        <v>285</v>
      </c>
      <c r="C16" s="624">
        <f>IF(A16="","",기본자료!$E$38)</f>
        <v>25</v>
      </c>
      <c r="D16" s="626">
        <f>IF(C16="","",시가!G$3)</f>
        <v>37</v>
      </c>
      <c r="E16" s="188" t="str">
        <f>IF(C16="","","침엽수")</f>
        <v>침엽수</v>
      </c>
      <c r="F16" s="189">
        <v>11100</v>
      </c>
      <c r="G16" s="190" t="s">
        <v>442</v>
      </c>
      <c r="H16" s="422">
        <f>IF(OR(G16="적용",G18="적용"),1,0)</f>
        <v>1</v>
      </c>
      <c r="I16" s="68"/>
      <c r="J16" s="194" t="str">
        <f>A32</f>
        <v>춘천시</v>
      </c>
      <c r="K16" s="421">
        <f>IF($H32=0,0,IF($G32="",IF($G34="적용",$F34,0),IF($G32="적용",$F32,0)))</f>
        <v>18800</v>
      </c>
      <c r="L16" s="421">
        <f>IF($H32=0,0,IF($G33="",IF($G35="적용",$F35,0),IF($G33="적용",$F33,0)))</f>
        <v>20900</v>
      </c>
      <c r="M16" s="200">
        <v>0</v>
      </c>
    </row>
    <row r="17" spans="1:13" x14ac:dyDescent="0.15">
      <c r="A17" s="620"/>
      <c r="B17" s="623"/>
      <c r="C17" s="625"/>
      <c r="D17" s="627"/>
      <c r="E17" s="191" t="str">
        <f>IF(C16="","","활엽수")</f>
        <v>활엽수</v>
      </c>
      <c r="F17" s="192">
        <v>13700</v>
      </c>
      <c r="G17" s="193" t="s">
        <v>442</v>
      </c>
      <c r="H17" s="68"/>
      <c r="I17" s="68"/>
      <c r="J17" s="194" t="str">
        <f>A36</f>
        <v>포천시</v>
      </c>
      <c r="K17" s="421">
        <f>IF($H36=0,0,IF($G36="",IF($G38="적용",$F38,0),IF($G36="적용",$F36,0)))</f>
        <v>18800</v>
      </c>
      <c r="L17" s="421">
        <f>IF($H36=0,0,IF($G37="",IF($G39="적용",$F39,0),IF($G37="적용",$F37,0)))</f>
        <v>20900</v>
      </c>
      <c r="M17" s="200">
        <v>0</v>
      </c>
    </row>
    <row r="18" spans="1:13" x14ac:dyDescent="0.15">
      <c r="A18" s="620"/>
      <c r="B18" s="628" t="s">
        <v>286</v>
      </c>
      <c r="C18" s="425" t="str">
        <f>IF(A16="","",기본자료!$B$38)</f>
        <v>N</v>
      </c>
      <c r="D18" s="196">
        <f>IF(C18="","",기본자료!$H$38)</f>
        <v>0</v>
      </c>
      <c r="E18" s="197" t="str">
        <f>IF(C18="","","침엽수")</f>
        <v>침엽수</v>
      </c>
      <c r="F18" s="198">
        <v>11100</v>
      </c>
      <c r="G18" s="199" t="s">
        <v>21</v>
      </c>
      <c r="H18" s="68"/>
      <c r="I18" s="68"/>
      <c r="J18" s="194" t="str">
        <f>A40</f>
        <v>남원시</v>
      </c>
      <c r="K18" s="421">
        <f>IF($H40=0,0,IF($G40="",IF($G42="적용",$F42,0),IF($G40="적용",$F40,0)))</f>
        <v>23500</v>
      </c>
      <c r="L18" s="421">
        <f>IF($H40=0,0,IF($G41="",IF($G43="적용",$F43,0),IF($G41="적용",$F41,0)))</f>
        <v>26200</v>
      </c>
      <c r="M18" s="200">
        <v>0</v>
      </c>
    </row>
    <row r="19" spans="1:13" ht="17.25" thickBot="1" x14ac:dyDescent="0.2">
      <c r="A19" s="620"/>
      <c r="B19" s="629"/>
      <c r="C19" s="424">
        <f>C16</f>
        <v>25</v>
      </c>
      <c r="D19" s="423">
        <f>IF(C19="","",시가!G3-D18)</f>
        <v>37</v>
      </c>
      <c r="E19" s="191" t="str">
        <f>IF(C18="","","활엽수")</f>
        <v>활엽수</v>
      </c>
      <c r="F19" s="202">
        <v>13700</v>
      </c>
      <c r="G19" s="193" t="s">
        <v>21</v>
      </c>
      <c r="H19" s="68"/>
      <c r="I19" s="68"/>
      <c r="J19" s="194" t="str">
        <f>A44</f>
        <v>광주광역시</v>
      </c>
      <c r="K19" s="421">
        <f>IF($H44=0,0,IF($G44="",IF($G46="적용",$F46,0),IF($G44="적용",$F44,0)))</f>
        <v>23500</v>
      </c>
      <c r="L19" s="421">
        <f>IF($H44=0,0,IF($G45="",IF($G47="적용",$F47,0),IF($G45="적용",$F45,0)))</f>
        <v>26200</v>
      </c>
      <c r="M19" s="200">
        <v>0</v>
      </c>
    </row>
    <row r="20" spans="1:13" ht="17.25" thickTop="1" x14ac:dyDescent="0.15">
      <c r="A20" s="619" t="str">
        <f>IF(시가!H4="","",시가!H4)</f>
        <v>양양군</v>
      </c>
      <c r="B20" s="622" t="s">
        <v>285</v>
      </c>
      <c r="C20" s="624">
        <f>IF(A20="","",기본자료!$E$38)</f>
        <v>25</v>
      </c>
      <c r="D20" s="626">
        <f>IF(C20="","",시가!H$3)</f>
        <v>80</v>
      </c>
      <c r="E20" s="188" t="str">
        <f>IF(C20="","","침엽수")</f>
        <v>침엽수</v>
      </c>
      <c r="F20" s="189">
        <v>13200</v>
      </c>
      <c r="G20" s="190" t="s">
        <v>442</v>
      </c>
      <c r="H20" s="422">
        <f>IF(OR(G20="적용",G22="적용"),1,0)</f>
        <v>1</v>
      </c>
      <c r="I20" s="68"/>
      <c r="J20" s="194" t="str">
        <f>A48</f>
        <v>순천시</v>
      </c>
      <c r="K20" s="421">
        <f>IF($H48=0,0,IF($G48="",IF($G50="적용",$F50,0),IF($G48="적용",$F48,0)))</f>
        <v>23500</v>
      </c>
      <c r="L20" s="421">
        <f>IF($H48=0,0,IF($G49="",IF($G51="적용",$F51,0),IF($G49="적용",$F49,0)))</f>
        <v>26200</v>
      </c>
      <c r="M20" s="200">
        <v>0</v>
      </c>
    </row>
    <row r="21" spans="1:13" x14ac:dyDescent="0.15">
      <c r="A21" s="620"/>
      <c r="B21" s="623"/>
      <c r="C21" s="625"/>
      <c r="D21" s="627"/>
      <c r="E21" s="191" t="str">
        <f>IF(C20="","","활엽수")</f>
        <v>활엽수</v>
      </c>
      <c r="F21" s="192">
        <v>14700</v>
      </c>
      <c r="G21" s="193" t="s">
        <v>442</v>
      </c>
      <c r="H21" s="68"/>
      <c r="I21" s="68"/>
      <c r="J21" s="194" t="str">
        <f>A52</f>
        <v>나주시</v>
      </c>
      <c r="K21" s="421">
        <f>IF($H52=0,0,IF($G52="",IF($G54="적용",$F54,0),IF($G52="적용",$F52,0)))</f>
        <v>23500</v>
      </c>
      <c r="L21" s="421">
        <f>IF($H52=0,0,IF($G53="",IF($G55="적용",$F55,0),IF($G53="적용",$F53,0)))</f>
        <v>26200</v>
      </c>
      <c r="M21" s="200">
        <v>0</v>
      </c>
    </row>
    <row r="22" spans="1:13" x14ac:dyDescent="0.15">
      <c r="A22" s="620"/>
      <c r="B22" s="628" t="s">
        <v>286</v>
      </c>
      <c r="C22" s="425" t="str">
        <f>IF(A20="","",기본자료!$B$38)</f>
        <v>N</v>
      </c>
      <c r="D22" s="196">
        <f>IF(C22="","",기본자료!$H$38)</f>
        <v>0</v>
      </c>
      <c r="E22" s="197" t="str">
        <f>IF(C22="","","침엽수")</f>
        <v>침엽수</v>
      </c>
      <c r="F22" s="198">
        <v>13200</v>
      </c>
      <c r="G22" s="199" t="s">
        <v>21</v>
      </c>
      <c r="H22" s="68"/>
      <c r="I22" s="68"/>
      <c r="J22" s="194" t="str">
        <f>A56</f>
        <v/>
      </c>
      <c r="K22" s="421">
        <f>IF($H56=0,0,IF($G56="",IF($G58="적용",$F58,0),IF($G56="적용",$F56,0)))</f>
        <v>0</v>
      </c>
      <c r="L22" s="421">
        <f>IF($H56=0,0,IF($G57="",IF($G59="적용",$F59,0),IF($G57="적용",$F57,0)))</f>
        <v>0</v>
      </c>
      <c r="M22" s="200">
        <v>0</v>
      </c>
    </row>
    <row r="23" spans="1:13" ht="17.25" thickBot="1" x14ac:dyDescent="0.2">
      <c r="A23" s="620"/>
      <c r="B23" s="629"/>
      <c r="C23" s="424">
        <f>C20</f>
        <v>25</v>
      </c>
      <c r="D23" s="423">
        <f>IF(C23="","",시가!H3-D22)</f>
        <v>80</v>
      </c>
      <c r="E23" s="191" t="str">
        <f>IF(C22="","","활엽수")</f>
        <v>활엽수</v>
      </c>
      <c r="F23" s="202">
        <v>14700</v>
      </c>
      <c r="G23" s="193" t="s">
        <v>21</v>
      </c>
      <c r="H23" s="68"/>
      <c r="I23" s="68"/>
      <c r="J23" s="194" t="str">
        <f>A60</f>
        <v/>
      </c>
      <c r="K23" s="421">
        <f>IF($H60=0,0,IF($G60="",IF($G62="적용",$F62,0),IF($G60="적용",$F60,0)))</f>
        <v>0</v>
      </c>
      <c r="L23" s="421">
        <f>IF($H60=0,0,IF($G61="",IF($G63="적용",$F63,0),IF($G61="적용",$F61,0)))</f>
        <v>0</v>
      </c>
      <c r="M23" s="200">
        <v>0</v>
      </c>
    </row>
    <row r="24" spans="1:13" ht="17.25" thickTop="1" x14ac:dyDescent="0.15">
      <c r="A24" s="619" t="str">
        <f>IF(시가!I4="","",시가!I4)</f>
        <v>영주시</v>
      </c>
      <c r="B24" s="622" t="s">
        <v>285</v>
      </c>
      <c r="C24" s="624">
        <f>IF(A24="","",기본자료!$E$38)</f>
        <v>25</v>
      </c>
      <c r="D24" s="626">
        <f>IF(C24="","",시가!I$3)</f>
        <v>147</v>
      </c>
      <c r="E24" s="188" t="str">
        <f>IF(C24="","","침엽수")</f>
        <v>침엽수</v>
      </c>
      <c r="F24" s="189">
        <v>17300</v>
      </c>
      <c r="G24" s="190" t="s">
        <v>442</v>
      </c>
      <c r="H24" s="422">
        <f>IF(OR(G24="적용",G26="적용"),1,0)</f>
        <v>1</v>
      </c>
      <c r="I24" s="68"/>
      <c r="J24" s="194" t="str">
        <f>A64</f>
        <v/>
      </c>
      <c r="K24" s="421">
        <f>IF($H64=0,0,IF($G64="",IF($G66="적용",$F66,0),IF($G64="적용",$F64,0)))</f>
        <v>0</v>
      </c>
      <c r="L24" s="421">
        <f>IF($H64=0,0,IF($G65="",IF($G67="적용",$F67,0),IF($G65="적용",$F65,0)))</f>
        <v>0</v>
      </c>
      <c r="M24" s="200">
        <v>0</v>
      </c>
    </row>
    <row r="25" spans="1:13" x14ac:dyDescent="0.15">
      <c r="A25" s="620"/>
      <c r="B25" s="623"/>
      <c r="C25" s="625"/>
      <c r="D25" s="627"/>
      <c r="E25" s="191" t="str">
        <f>IF(C24="","","활엽수")</f>
        <v>활엽수</v>
      </c>
      <c r="F25" s="192">
        <v>19400</v>
      </c>
      <c r="G25" s="193" t="s">
        <v>442</v>
      </c>
      <c r="H25" s="68"/>
      <c r="I25" s="68"/>
      <c r="J25" s="194" t="str">
        <f>A68</f>
        <v/>
      </c>
      <c r="K25" s="421">
        <f>IF($H68=0,0,IF($G68="",IF($G70="적용",$F70,0),IF($G68="적용",$F68,0)))</f>
        <v>0</v>
      </c>
      <c r="L25" s="421">
        <f>IF($H68=0,0,IF($G69="",IF($G71="적용",$F71,0),IF($G69="적용",$F69,0)))</f>
        <v>0</v>
      </c>
      <c r="M25" s="200">
        <v>0</v>
      </c>
    </row>
    <row r="26" spans="1:13" x14ac:dyDescent="0.15">
      <c r="A26" s="620"/>
      <c r="B26" s="628" t="s">
        <v>286</v>
      </c>
      <c r="C26" s="425" t="str">
        <f>IF(A24="","",기본자료!$B$38)</f>
        <v>N</v>
      </c>
      <c r="D26" s="196">
        <f>IF(C26="","",기본자료!$H$38)</f>
        <v>0</v>
      </c>
      <c r="E26" s="197" t="str">
        <f>IF(C26="","","침엽수")</f>
        <v>침엽수</v>
      </c>
      <c r="F26" s="198">
        <v>17300</v>
      </c>
      <c r="G26" s="199" t="s">
        <v>21</v>
      </c>
      <c r="H26" s="68"/>
      <c r="I26" s="68"/>
      <c r="J26" s="194" t="str">
        <f>A72</f>
        <v/>
      </c>
      <c r="K26" s="421">
        <f>IF($H72=0,0,IF($G72="",IF($G74="적용",$F74,0),IF($G72="적용",$F72,0)))</f>
        <v>0</v>
      </c>
      <c r="L26" s="421">
        <f>IF($H72=0,0,IF($G73="",IF($G75="적용",$F75,0),IF($G73="적용",$F73,0)))</f>
        <v>0</v>
      </c>
      <c r="M26" s="200">
        <v>0</v>
      </c>
    </row>
    <row r="27" spans="1:13" ht="17.25" thickBot="1" x14ac:dyDescent="0.2">
      <c r="A27" s="620"/>
      <c r="B27" s="629"/>
      <c r="C27" s="424">
        <f>C24</f>
        <v>25</v>
      </c>
      <c r="D27" s="423">
        <f>IF(C27="","",시가!I3-D26)</f>
        <v>147</v>
      </c>
      <c r="E27" s="191" t="str">
        <f>IF(C26="","","활엽수")</f>
        <v>활엽수</v>
      </c>
      <c r="F27" s="202">
        <v>19400</v>
      </c>
      <c r="G27" s="193" t="s">
        <v>21</v>
      </c>
      <c r="H27" s="68"/>
      <c r="I27" s="68"/>
      <c r="J27" s="194" t="str">
        <f>A76</f>
        <v/>
      </c>
      <c r="K27" s="421">
        <f>IF($H76=0,0,IF($G76="",IF($G78="적용",$F78,0),IF($G76="적용",$F76,0)))</f>
        <v>0</v>
      </c>
      <c r="L27" s="421">
        <f>IF($H76=0,0,IF($G77="",IF($G79="적용",$F79,0),IF($G77="적용",$F77,0)))</f>
        <v>0</v>
      </c>
      <c r="M27" s="200">
        <v>0</v>
      </c>
    </row>
    <row r="28" spans="1:13" ht="17.25" thickTop="1" x14ac:dyDescent="0.15">
      <c r="A28" s="619" t="str">
        <f>IF(시가!J4="","",시가!J4)</f>
        <v>안동시</v>
      </c>
      <c r="B28" s="622" t="s">
        <v>285</v>
      </c>
      <c r="C28" s="624">
        <f>IF(A28="","",기본자료!$E$38)</f>
        <v>25</v>
      </c>
      <c r="D28" s="626">
        <f>IF(C28="","",시가!J$3)</f>
        <v>184</v>
      </c>
      <c r="E28" s="188" t="str">
        <f>IF(C28="","","침엽수")</f>
        <v>침엽수</v>
      </c>
      <c r="F28" s="189">
        <v>18800</v>
      </c>
      <c r="G28" s="190" t="s">
        <v>442</v>
      </c>
      <c r="H28" s="422">
        <f>IF(OR(G28="적용",G30="적용"),1,0)</f>
        <v>1</v>
      </c>
      <c r="I28" s="68"/>
      <c r="J28" s="194" t="str">
        <f>A80</f>
        <v/>
      </c>
      <c r="K28" s="421">
        <f>IF($H80=0,0,IF($G80="",IF($G82="적용",$F82,0),IF($G80="적용",$F80,0)))</f>
        <v>0</v>
      </c>
      <c r="L28" s="421">
        <f>IF($H80=0,0,IF($G81="",IF($G83="적용",$F83,0),IF($G81="적용",$F81,0)))</f>
        <v>0</v>
      </c>
      <c r="M28" s="200">
        <v>0</v>
      </c>
    </row>
    <row r="29" spans="1:13" x14ac:dyDescent="0.15">
      <c r="A29" s="620"/>
      <c r="B29" s="623"/>
      <c r="C29" s="625"/>
      <c r="D29" s="627"/>
      <c r="E29" s="191" t="str">
        <f>IF(C28="","","활엽수")</f>
        <v>활엽수</v>
      </c>
      <c r="F29" s="192">
        <v>20900</v>
      </c>
      <c r="G29" s="193" t="s">
        <v>442</v>
      </c>
      <c r="H29" s="68"/>
      <c r="I29" s="68"/>
      <c r="J29" s="194" t="str">
        <f>A84</f>
        <v/>
      </c>
      <c r="K29" s="421">
        <f>IF($H84=0,0,IF($G84="",IF($G86="적용",$F86,0),IF($G84="적용",$F84,0)))</f>
        <v>0</v>
      </c>
      <c r="L29" s="421">
        <f>IF($H84=0,0,IF($G85="",IF($G87="적용",$F87,0),IF($G85="적용",$F85,0)))</f>
        <v>0</v>
      </c>
      <c r="M29" s="200">
        <v>0</v>
      </c>
    </row>
    <row r="30" spans="1:13" x14ac:dyDescent="0.15">
      <c r="A30" s="620"/>
      <c r="B30" s="628" t="s">
        <v>286</v>
      </c>
      <c r="C30" s="425" t="str">
        <f>IF(A28="","",기본자료!$B$38)</f>
        <v>N</v>
      </c>
      <c r="D30" s="196">
        <f>IF(C30="","",기본자료!$H$38)</f>
        <v>0</v>
      </c>
      <c r="E30" s="197" t="str">
        <f>IF(C30="","","침엽수")</f>
        <v>침엽수</v>
      </c>
      <c r="F30" s="198">
        <v>18800</v>
      </c>
      <c r="G30" s="199" t="s">
        <v>21</v>
      </c>
      <c r="H30" s="68"/>
      <c r="I30" s="68"/>
      <c r="J30" s="194" t="str">
        <f>A88</f>
        <v/>
      </c>
      <c r="K30" s="421">
        <f>IF($H88=0,0,IF($G88="",IF($G90="적용",$F90,0),IF($G88="적용",$F88,0)))</f>
        <v>0</v>
      </c>
      <c r="L30" s="421">
        <f>IF($H88=0,0,IF($G89="",IF($G91="적용",$F91,0),IF($G89="적용",$F89,0)))</f>
        <v>0</v>
      </c>
      <c r="M30" s="200">
        <v>0</v>
      </c>
    </row>
    <row r="31" spans="1:13" ht="17.25" thickBot="1" x14ac:dyDescent="0.2">
      <c r="A31" s="620"/>
      <c r="B31" s="629"/>
      <c r="C31" s="424">
        <f>C28</f>
        <v>25</v>
      </c>
      <c r="D31" s="423">
        <f>IF(C31="","",시가!J3-D30)</f>
        <v>184</v>
      </c>
      <c r="E31" s="191" t="str">
        <f>IF(C30="","","활엽수")</f>
        <v>활엽수</v>
      </c>
      <c r="F31" s="202">
        <v>20900</v>
      </c>
      <c r="G31" s="193" t="s">
        <v>21</v>
      </c>
      <c r="H31" s="68"/>
      <c r="I31" s="68"/>
      <c r="J31" s="194" t="str">
        <f>A92</f>
        <v/>
      </c>
      <c r="K31" s="421">
        <f>IF($H92=0,0,IF($G92="",IF($G94="적용",$F94,0),IF($G92="적용",$F92,0)))</f>
        <v>0</v>
      </c>
      <c r="L31" s="421">
        <f>IF($H92=0,0,IF($G93="",IF($G95="적용",$F95,0),IF($G93="적용",$F93,0)))</f>
        <v>0</v>
      </c>
      <c r="M31" s="200">
        <v>0</v>
      </c>
    </row>
    <row r="32" spans="1:13" ht="17.25" thickTop="1" x14ac:dyDescent="0.15">
      <c r="A32" s="619" t="str">
        <f>IF(시가!K4="","",시가!K4)</f>
        <v>춘천시</v>
      </c>
      <c r="B32" s="622" t="s">
        <v>285</v>
      </c>
      <c r="C32" s="624">
        <f>IF(A32="","",기본자료!$E$38)</f>
        <v>25</v>
      </c>
      <c r="D32" s="626">
        <f>IF(C32="","",시가!K$3)</f>
        <v>190</v>
      </c>
      <c r="E32" s="188" t="str">
        <f>IF(C32="","","침엽수")</f>
        <v>침엽수</v>
      </c>
      <c r="F32" s="189">
        <v>18800</v>
      </c>
      <c r="G32" s="190" t="s">
        <v>442</v>
      </c>
      <c r="H32" s="422">
        <f>IF(OR(G32="적용",G34="적용"),1,0)</f>
        <v>1</v>
      </c>
      <c r="I32" s="68"/>
      <c r="J32" s="194" t="str">
        <f>A96</f>
        <v/>
      </c>
      <c r="K32" s="421">
        <f>IF($H96=0,0,IF($G96="",IF($G98="적용",$F98,0),IF($G96="적용",$F96,0)))</f>
        <v>0</v>
      </c>
      <c r="L32" s="421">
        <f>IF($H96=0,0,IF($G97="",IF($G99="적용",$F99,0),IF($G97="적용",$F97,0)))</f>
        <v>0</v>
      </c>
      <c r="M32" s="200">
        <v>0</v>
      </c>
    </row>
    <row r="33" spans="1:13" x14ac:dyDescent="0.15">
      <c r="A33" s="620"/>
      <c r="B33" s="623"/>
      <c r="C33" s="625"/>
      <c r="D33" s="627"/>
      <c r="E33" s="191" t="str">
        <f>IF(C32="","","활엽수")</f>
        <v>활엽수</v>
      </c>
      <c r="F33" s="192">
        <v>20900</v>
      </c>
      <c r="G33" s="193" t="s">
        <v>442</v>
      </c>
      <c r="H33" s="68"/>
      <c r="I33" s="68"/>
      <c r="J33" s="194" t="str">
        <f>A100</f>
        <v/>
      </c>
      <c r="K33" s="421">
        <f>IF($H100=0,0,IF($G100="",IF($G102="적용",$F102,0),IF($G100="적용",$F100,0)))</f>
        <v>0</v>
      </c>
      <c r="L33" s="421">
        <f>IF($H100=0,0,IF($G101="",IF($G103="적용",$F103,0),IF($G101="적용",$F101,0)))</f>
        <v>0</v>
      </c>
      <c r="M33" s="200">
        <v>0</v>
      </c>
    </row>
    <row r="34" spans="1:13" x14ac:dyDescent="0.15">
      <c r="A34" s="620"/>
      <c r="B34" s="628" t="s">
        <v>286</v>
      </c>
      <c r="C34" s="425" t="str">
        <f>IF(A32="","",기본자료!$B$38)</f>
        <v>N</v>
      </c>
      <c r="D34" s="196">
        <f>IF(C34="","",기본자료!$H$38)</f>
        <v>0</v>
      </c>
      <c r="E34" s="197" t="str">
        <f>IF(C34="","","침엽수")</f>
        <v>침엽수</v>
      </c>
      <c r="F34" s="198">
        <v>18800</v>
      </c>
      <c r="G34" s="199" t="s">
        <v>21</v>
      </c>
      <c r="H34" s="68"/>
      <c r="I34" s="68"/>
      <c r="J34" s="194" t="str">
        <f>A104</f>
        <v/>
      </c>
      <c r="K34" s="421">
        <f>IF($H104=0,0,IF($G104="",IF($G106="적용",$F106,0),IF($G104="적용",$F104,0)))</f>
        <v>0</v>
      </c>
      <c r="L34" s="421">
        <f>IF($H104=0,0,IF($G105="",IF($G107="적용",$F107,0),IF($G105="적용",$F105,0)))</f>
        <v>0</v>
      </c>
      <c r="M34" s="200">
        <v>0</v>
      </c>
    </row>
    <row r="35" spans="1:13" ht="17.25" thickBot="1" x14ac:dyDescent="0.2">
      <c r="A35" s="620"/>
      <c r="B35" s="629"/>
      <c r="C35" s="424">
        <f>C32</f>
        <v>25</v>
      </c>
      <c r="D35" s="423">
        <f>IF(C35="","",시가!J3-D34)</f>
        <v>184</v>
      </c>
      <c r="E35" s="191" t="str">
        <f>IF(C34="","","활엽수")</f>
        <v>활엽수</v>
      </c>
      <c r="F35" s="202">
        <v>20900</v>
      </c>
      <c r="G35" s="193" t="s">
        <v>21</v>
      </c>
      <c r="H35" s="68"/>
      <c r="I35" s="68"/>
      <c r="J35" s="68"/>
      <c r="K35" s="68"/>
      <c r="L35" s="68"/>
      <c r="M35" s="68"/>
    </row>
    <row r="36" spans="1:13" ht="17.25" thickTop="1" x14ac:dyDescent="0.15">
      <c r="A36" s="619" t="str">
        <f>IF(시가!L4="","",시가!L4)</f>
        <v>포천시</v>
      </c>
      <c r="B36" s="622" t="s">
        <v>285</v>
      </c>
      <c r="C36" s="624">
        <f>IF(A36="","",기본자료!$E$38)</f>
        <v>25</v>
      </c>
      <c r="D36" s="626">
        <f>IF(C36="","",시가!L$3)</f>
        <v>199</v>
      </c>
      <c r="E36" s="188" t="str">
        <f>IF(C36="","","침엽수")</f>
        <v>침엽수</v>
      </c>
      <c r="F36" s="189">
        <v>18800</v>
      </c>
      <c r="G36" s="190" t="s">
        <v>442</v>
      </c>
      <c r="H36" s="422">
        <f>IF(OR(G36="적용",G38="적용"),1,0)</f>
        <v>1</v>
      </c>
      <c r="I36" s="68"/>
      <c r="J36" s="68"/>
      <c r="K36" s="68"/>
      <c r="L36" s="68"/>
      <c r="M36" s="68"/>
    </row>
    <row r="37" spans="1:13" x14ac:dyDescent="0.15">
      <c r="A37" s="620"/>
      <c r="B37" s="623"/>
      <c r="C37" s="625"/>
      <c r="D37" s="627"/>
      <c r="E37" s="191" t="str">
        <f>IF(C36="","","활엽수")</f>
        <v>활엽수</v>
      </c>
      <c r="F37" s="192">
        <v>20900</v>
      </c>
      <c r="G37" s="193" t="s">
        <v>442</v>
      </c>
      <c r="H37" s="68"/>
      <c r="I37" s="68"/>
      <c r="J37" s="68"/>
      <c r="K37" s="68"/>
      <c r="L37" s="68"/>
      <c r="M37" s="68"/>
    </row>
    <row r="38" spans="1:13" x14ac:dyDescent="0.15">
      <c r="A38" s="620"/>
      <c r="B38" s="628" t="s">
        <v>286</v>
      </c>
      <c r="C38" s="425" t="str">
        <f>IF(A36="","",기본자료!$B$38)</f>
        <v>N</v>
      </c>
      <c r="D38" s="196">
        <f>IF(C38="","",기본자료!$H$38)</f>
        <v>0</v>
      </c>
      <c r="E38" s="197" t="str">
        <f>IF(C38="","","침엽수")</f>
        <v>침엽수</v>
      </c>
      <c r="F38" s="198">
        <v>18800</v>
      </c>
      <c r="G38" s="199" t="s">
        <v>21</v>
      </c>
      <c r="H38" s="68"/>
      <c r="I38" s="68"/>
      <c r="J38" s="68"/>
      <c r="K38" s="68"/>
      <c r="L38" s="68"/>
      <c r="M38" s="68"/>
    </row>
    <row r="39" spans="1:13" ht="17.25" thickBot="1" x14ac:dyDescent="0.2">
      <c r="A39" s="620"/>
      <c r="B39" s="629"/>
      <c r="C39" s="424">
        <f>C36</f>
        <v>25</v>
      </c>
      <c r="D39" s="423">
        <f>IF(C39="","",시가!L3-D38)</f>
        <v>199</v>
      </c>
      <c r="E39" s="191" t="str">
        <f>IF(C38="","","활엽수")</f>
        <v>활엽수</v>
      </c>
      <c r="F39" s="202">
        <v>20900</v>
      </c>
      <c r="G39" s="193" t="s">
        <v>21</v>
      </c>
      <c r="H39" s="68"/>
      <c r="I39" s="68"/>
      <c r="J39" s="68"/>
      <c r="K39" s="68"/>
      <c r="L39" s="68"/>
      <c r="M39" s="68"/>
    </row>
    <row r="40" spans="1:13" ht="17.25" thickTop="1" x14ac:dyDescent="0.15">
      <c r="A40" s="619" t="str">
        <f>IF(시가!M4="","",시가!M4)</f>
        <v>남원시</v>
      </c>
      <c r="B40" s="622" t="s">
        <v>285</v>
      </c>
      <c r="C40" s="624">
        <f>IF(A40="","",기본자료!$E$38)</f>
        <v>25</v>
      </c>
      <c r="D40" s="626">
        <f>IF(C40="","",시가!M$3)</f>
        <v>403</v>
      </c>
      <c r="E40" s="188" t="str">
        <f>IF(C40="","","침엽수")</f>
        <v>침엽수</v>
      </c>
      <c r="F40" s="189">
        <v>23500</v>
      </c>
      <c r="G40" s="190" t="s">
        <v>442</v>
      </c>
      <c r="H40" s="422">
        <f>IF(OR(G40="적용",G42="적용"),1,0)</f>
        <v>1</v>
      </c>
      <c r="I40" s="68"/>
      <c r="J40" s="68"/>
      <c r="K40" s="68"/>
      <c r="L40" s="68"/>
      <c r="M40" s="68"/>
    </row>
    <row r="41" spans="1:13" x14ac:dyDescent="0.15">
      <c r="A41" s="620"/>
      <c r="B41" s="623"/>
      <c r="C41" s="625"/>
      <c r="D41" s="627"/>
      <c r="E41" s="191" t="str">
        <f>IF(C40="","","활엽수")</f>
        <v>활엽수</v>
      </c>
      <c r="F41" s="192">
        <v>26200</v>
      </c>
      <c r="G41" s="193" t="s">
        <v>442</v>
      </c>
      <c r="H41" s="68"/>
      <c r="I41" s="68"/>
      <c r="J41" s="68"/>
      <c r="K41" s="68"/>
      <c r="L41" s="68"/>
      <c r="M41" s="68"/>
    </row>
    <row r="42" spans="1:13" x14ac:dyDescent="0.15">
      <c r="A42" s="620"/>
      <c r="B42" s="628" t="s">
        <v>286</v>
      </c>
      <c r="C42" s="425" t="str">
        <f>IF(A40="","",기본자료!$B$38)</f>
        <v>N</v>
      </c>
      <c r="D42" s="196">
        <f>IF(C42="","",기본자료!$H$38)</f>
        <v>0</v>
      </c>
      <c r="E42" s="197" t="str">
        <f>IF(C42="","","침엽수")</f>
        <v>침엽수</v>
      </c>
      <c r="F42" s="198">
        <v>23500</v>
      </c>
      <c r="G42" s="199" t="s">
        <v>21</v>
      </c>
      <c r="H42" s="68"/>
      <c r="I42" s="68"/>
      <c r="J42" s="68"/>
      <c r="K42" s="68"/>
      <c r="L42" s="68"/>
      <c r="M42" s="68"/>
    </row>
    <row r="43" spans="1:13" ht="17.25" thickBot="1" x14ac:dyDescent="0.2">
      <c r="A43" s="620"/>
      <c r="B43" s="629"/>
      <c r="C43" s="424">
        <f>C40</f>
        <v>25</v>
      </c>
      <c r="D43" s="423">
        <f>IF(C43="","",시가!M3-D42)</f>
        <v>403</v>
      </c>
      <c r="E43" s="191" t="str">
        <f>IF(C42="","","활엽수")</f>
        <v>활엽수</v>
      </c>
      <c r="F43" s="202">
        <v>26200</v>
      </c>
      <c r="G43" s="193" t="s">
        <v>21</v>
      </c>
      <c r="H43" s="68"/>
      <c r="I43" s="68"/>
      <c r="J43" s="68"/>
      <c r="K43" s="68"/>
      <c r="L43" s="68"/>
      <c r="M43" s="68"/>
    </row>
    <row r="44" spans="1:13" ht="17.25" thickTop="1" x14ac:dyDescent="0.15">
      <c r="A44" s="619" t="str">
        <f>IF(시가!N4="","",시가!N4)</f>
        <v>광주광역시</v>
      </c>
      <c r="B44" s="622" t="s">
        <v>285</v>
      </c>
      <c r="C44" s="624">
        <f>IF(A44="","",기본자료!$E$38)</f>
        <v>25</v>
      </c>
      <c r="D44" s="626">
        <f>IF(C44="","",시가!N$3)</f>
        <v>471</v>
      </c>
      <c r="E44" s="188" t="str">
        <f>IF(C44="","","침엽수")</f>
        <v>침엽수</v>
      </c>
      <c r="F44" s="189">
        <v>23500</v>
      </c>
      <c r="G44" s="190" t="s">
        <v>442</v>
      </c>
      <c r="H44" s="422">
        <f>IF(OR(G44="적용",G46="적용"),1,0)</f>
        <v>1</v>
      </c>
      <c r="I44" s="68"/>
      <c r="J44" s="68"/>
      <c r="K44" s="68"/>
      <c r="L44" s="68"/>
      <c r="M44" s="68"/>
    </row>
    <row r="45" spans="1:13" x14ac:dyDescent="0.15">
      <c r="A45" s="620"/>
      <c r="B45" s="623"/>
      <c r="C45" s="625"/>
      <c r="D45" s="627"/>
      <c r="E45" s="191" t="str">
        <f>IF(C44="","","활엽수")</f>
        <v>활엽수</v>
      </c>
      <c r="F45" s="192">
        <v>26200</v>
      </c>
      <c r="G45" s="193" t="s">
        <v>442</v>
      </c>
      <c r="H45" s="68"/>
      <c r="I45" s="68"/>
      <c r="J45" s="68"/>
      <c r="K45" s="68"/>
      <c r="L45" s="68"/>
      <c r="M45" s="68"/>
    </row>
    <row r="46" spans="1:13" x14ac:dyDescent="0.15">
      <c r="A46" s="620"/>
      <c r="B46" s="628" t="s">
        <v>286</v>
      </c>
      <c r="C46" s="425" t="str">
        <f>IF(A44="","",기본자료!$B$38)</f>
        <v>N</v>
      </c>
      <c r="D46" s="196">
        <f>IF(C46="","",기본자료!$H$38)</f>
        <v>0</v>
      </c>
      <c r="E46" s="197" t="str">
        <f>IF(C46="","","침엽수")</f>
        <v>침엽수</v>
      </c>
      <c r="F46" s="198">
        <v>23500</v>
      </c>
      <c r="G46" s="199" t="s">
        <v>21</v>
      </c>
      <c r="H46" s="68"/>
      <c r="I46" s="68"/>
      <c r="J46" s="68"/>
      <c r="K46" s="68"/>
      <c r="L46" s="68"/>
      <c r="M46" s="68"/>
    </row>
    <row r="47" spans="1:13" ht="17.25" thickBot="1" x14ac:dyDescent="0.2">
      <c r="A47" s="620"/>
      <c r="B47" s="629"/>
      <c r="C47" s="424">
        <f>C44</f>
        <v>25</v>
      </c>
      <c r="D47" s="423">
        <f>IF(C47="","",시가!N3-D46)</f>
        <v>471</v>
      </c>
      <c r="E47" s="191" t="str">
        <f>IF(C46="","","활엽수")</f>
        <v>활엽수</v>
      </c>
      <c r="F47" s="202">
        <v>26200</v>
      </c>
      <c r="G47" s="193" t="s">
        <v>21</v>
      </c>
      <c r="H47" s="68"/>
      <c r="I47" s="68"/>
      <c r="J47" s="68"/>
      <c r="K47" s="68"/>
      <c r="L47" s="68"/>
      <c r="M47" s="68"/>
    </row>
    <row r="48" spans="1:13" ht="17.25" thickTop="1" x14ac:dyDescent="0.15">
      <c r="A48" s="619" t="str">
        <f>IF(시가!O4="","",시가!O4)</f>
        <v>순천시</v>
      </c>
      <c r="B48" s="622" t="s">
        <v>285</v>
      </c>
      <c r="C48" s="624">
        <f>IF(A48="","",기본자료!$E$38)</f>
        <v>25</v>
      </c>
      <c r="D48" s="626">
        <f>IF(C48="","",시가!O$3)</f>
        <v>489</v>
      </c>
      <c r="E48" s="188" t="str">
        <f>IF(C48="","","침엽수")</f>
        <v>침엽수</v>
      </c>
      <c r="F48" s="189">
        <v>23500</v>
      </c>
      <c r="G48" s="190" t="s">
        <v>442</v>
      </c>
      <c r="H48" s="422">
        <f>IF(OR(G48="적용",G50="적용"),1,0)</f>
        <v>1</v>
      </c>
      <c r="I48" s="68"/>
      <c r="J48" s="68"/>
      <c r="K48" s="68"/>
      <c r="L48" s="68"/>
      <c r="M48" s="68"/>
    </row>
    <row r="49" spans="1:13" x14ac:dyDescent="0.15">
      <c r="A49" s="620"/>
      <c r="B49" s="623"/>
      <c r="C49" s="625"/>
      <c r="D49" s="627"/>
      <c r="E49" s="191" t="str">
        <f>IF(C48="","","활엽수")</f>
        <v>활엽수</v>
      </c>
      <c r="F49" s="192">
        <v>26200</v>
      </c>
      <c r="G49" s="193" t="s">
        <v>442</v>
      </c>
      <c r="H49" s="68"/>
      <c r="I49" s="68"/>
      <c r="J49" s="68"/>
      <c r="K49" s="68"/>
      <c r="L49" s="68"/>
      <c r="M49" s="68"/>
    </row>
    <row r="50" spans="1:13" x14ac:dyDescent="0.15">
      <c r="A50" s="620"/>
      <c r="B50" s="628" t="s">
        <v>286</v>
      </c>
      <c r="C50" s="425" t="str">
        <f>IF(A48="","",기본자료!$B$38)</f>
        <v>N</v>
      </c>
      <c r="D50" s="196">
        <f>IF(C50="","",기본자료!$H$38)</f>
        <v>0</v>
      </c>
      <c r="E50" s="197" t="str">
        <f>IF(C50="","","침엽수")</f>
        <v>침엽수</v>
      </c>
      <c r="F50" s="198">
        <v>23500</v>
      </c>
      <c r="G50" s="199" t="s">
        <v>21</v>
      </c>
      <c r="H50" s="68"/>
      <c r="I50" s="68"/>
      <c r="J50" s="68"/>
      <c r="K50" s="68"/>
      <c r="L50" s="68"/>
      <c r="M50" s="68"/>
    </row>
    <row r="51" spans="1:13" ht="17.25" thickBot="1" x14ac:dyDescent="0.2">
      <c r="A51" s="620"/>
      <c r="B51" s="629"/>
      <c r="C51" s="424">
        <f>C48</f>
        <v>25</v>
      </c>
      <c r="D51" s="423">
        <f>IF(C51="","",시가!O3-D50)</f>
        <v>489</v>
      </c>
      <c r="E51" s="191" t="str">
        <f>IF(C50="","","활엽수")</f>
        <v>활엽수</v>
      </c>
      <c r="F51" s="202">
        <v>26200</v>
      </c>
      <c r="G51" s="193" t="s">
        <v>21</v>
      </c>
      <c r="H51" s="68"/>
      <c r="I51" s="68"/>
      <c r="J51" s="68"/>
      <c r="K51" s="68"/>
      <c r="L51" s="68"/>
      <c r="M51" s="68"/>
    </row>
    <row r="52" spans="1:13" ht="17.25" thickTop="1" x14ac:dyDescent="0.15">
      <c r="A52" s="619" t="str">
        <f>IF(시가!P4="","",시가!P4)</f>
        <v>나주시</v>
      </c>
      <c r="B52" s="622" t="s">
        <v>285</v>
      </c>
      <c r="C52" s="624">
        <f>IF(A52="","",기본자료!$E$38)</f>
        <v>25</v>
      </c>
      <c r="D52" s="626">
        <f>IF(C52="","",시가!P$3)</f>
        <v>492</v>
      </c>
      <c r="E52" s="188" t="str">
        <f>IF(C52="","","침엽수")</f>
        <v>침엽수</v>
      </c>
      <c r="F52" s="189">
        <v>23500</v>
      </c>
      <c r="G52" s="190" t="s">
        <v>442</v>
      </c>
      <c r="H52" s="422">
        <f>IF(OR(G52="적용",G54="적용"),1,0)</f>
        <v>1</v>
      </c>
      <c r="I52" s="68"/>
      <c r="J52" s="68"/>
      <c r="K52" s="68"/>
      <c r="L52" s="68"/>
      <c r="M52" s="68"/>
    </row>
    <row r="53" spans="1:13" x14ac:dyDescent="0.15">
      <c r="A53" s="620"/>
      <c r="B53" s="623"/>
      <c r="C53" s="625"/>
      <c r="D53" s="627"/>
      <c r="E53" s="191" t="str">
        <f>IF(C52="","","활엽수")</f>
        <v>활엽수</v>
      </c>
      <c r="F53" s="192">
        <v>26200</v>
      </c>
      <c r="G53" s="193" t="s">
        <v>442</v>
      </c>
      <c r="H53" s="68"/>
      <c r="I53" s="68"/>
      <c r="J53" s="68"/>
      <c r="K53" s="68"/>
      <c r="L53" s="68"/>
      <c r="M53" s="68"/>
    </row>
    <row r="54" spans="1:13" x14ac:dyDescent="0.15">
      <c r="A54" s="620"/>
      <c r="B54" s="628" t="s">
        <v>286</v>
      </c>
      <c r="C54" s="425" t="str">
        <f>IF(A52="","",기본자료!$B$38)</f>
        <v>N</v>
      </c>
      <c r="D54" s="196">
        <f>IF(C54="","",기본자료!$H$38)</f>
        <v>0</v>
      </c>
      <c r="E54" s="197" t="str">
        <f>IF(C54="","","침엽수")</f>
        <v>침엽수</v>
      </c>
      <c r="F54" s="198">
        <v>23500</v>
      </c>
      <c r="G54" s="199" t="s">
        <v>21</v>
      </c>
      <c r="H54" s="68"/>
      <c r="I54" s="68"/>
      <c r="J54" s="68"/>
      <c r="K54" s="68"/>
      <c r="L54" s="68"/>
      <c r="M54" s="68"/>
    </row>
    <row r="55" spans="1:13" ht="17.25" thickBot="1" x14ac:dyDescent="0.2">
      <c r="A55" s="620"/>
      <c r="B55" s="629"/>
      <c r="C55" s="424">
        <f>C52</f>
        <v>25</v>
      </c>
      <c r="D55" s="423">
        <f>IF(C55="","",시가!P3-D54)</f>
        <v>492</v>
      </c>
      <c r="E55" s="191" t="str">
        <f>IF(C54="","","활엽수")</f>
        <v>활엽수</v>
      </c>
      <c r="F55" s="202">
        <v>26200</v>
      </c>
      <c r="G55" s="193" t="s">
        <v>21</v>
      </c>
      <c r="H55" s="68"/>
      <c r="I55" s="68"/>
      <c r="J55" s="68"/>
      <c r="K55" s="68"/>
      <c r="L55" s="68"/>
      <c r="M55" s="68"/>
    </row>
    <row r="56" spans="1:13" ht="17.25" thickTop="1" x14ac:dyDescent="0.15">
      <c r="A56" s="619" t="str">
        <f>IF(시가!Q4="","",시가!Q4)</f>
        <v/>
      </c>
      <c r="B56" s="622" t="s">
        <v>285</v>
      </c>
      <c r="C56" s="624" t="str">
        <f>IF(A56="","",기본자료!$E$38)</f>
        <v/>
      </c>
      <c r="D56" s="626" t="str">
        <f>IF(C56="","",시가!Q$3)</f>
        <v/>
      </c>
      <c r="E56" s="188" t="str">
        <f>IF(C56="","","침엽수")</f>
        <v/>
      </c>
      <c r="F56" s="189"/>
      <c r="G56" s="190"/>
      <c r="H56" s="422">
        <f>IF(OR(G56="적용",G58="적용"),1,0)</f>
        <v>0</v>
      </c>
      <c r="I56" s="68"/>
      <c r="J56" s="68"/>
      <c r="K56" s="68"/>
      <c r="L56" s="68"/>
      <c r="M56" s="68"/>
    </row>
    <row r="57" spans="1:13" x14ac:dyDescent="0.15">
      <c r="A57" s="620"/>
      <c r="B57" s="623"/>
      <c r="C57" s="625"/>
      <c r="D57" s="627"/>
      <c r="E57" s="191" t="str">
        <f>IF(C56="","","활엽수")</f>
        <v/>
      </c>
      <c r="F57" s="192"/>
      <c r="G57" s="193"/>
      <c r="H57" s="68"/>
      <c r="I57" s="68"/>
      <c r="J57" s="68"/>
      <c r="K57" s="68"/>
      <c r="L57" s="68"/>
      <c r="M57" s="68"/>
    </row>
    <row r="58" spans="1:13" x14ac:dyDescent="0.15">
      <c r="A58" s="620"/>
      <c r="B58" s="628" t="s">
        <v>286</v>
      </c>
      <c r="C58" s="425" t="str">
        <f>IF(A56="","",기본자료!$B$38)</f>
        <v/>
      </c>
      <c r="D58" s="196" t="str">
        <f>IF(C58="","",기본자료!$H$38)</f>
        <v/>
      </c>
      <c r="E58" s="197" t="str">
        <f>IF(C58="","","침엽수")</f>
        <v/>
      </c>
      <c r="F58" s="198"/>
      <c r="G58" s="199"/>
      <c r="H58" s="68"/>
      <c r="I58" s="68"/>
      <c r="J58" s="68"/>
      <c r="K58" s="68"/>
      <c r="L58" s="68"/>
      <c r="M58" s="68"/>
    </row>
    <row r="59" spans="1:13" ht="17.25" thickBot="1" x14ac:dyDescent="0.2">
      <c r="A59" s="620"/>
      <c r="B59" s="629"/>
      <c r="C59" s="424" t="str">
        <f>C56</f>
        <v/>
      </c>
      <c r="D59" s="423" t="str">
        <f>IF(C59="","",시가!Q3-D58)</f>
        <v/>
      </c>
      <c r="E59" s="191" t="str">
        <f>IF(C58="","","활엽수")</f>
        <v/>
      </c>
      <c r="F59" s="202"/>
      <c r="G59" s="193"/>
      <c r="H59" s="68"/>
      <c r="I59" s="68"/>
      <c r="J59" s="68"/>
      <c r="K59" s="68"/>
      <c r="L59" s="68"/>
      <c r="M59" s="68"/>
    </row>
    <row r="60" spans="1:13" ht="17.25" thickTop="1" x14ac:dyDescent="0.15">
      <c r="A60" s="619" t="str">
        <f>IF(시가!R4="","",시가!R4)</f>
        <v/>
      </c>
      <c r="B60" s="622" t="s">
        <v>285</v>
      </c>
      <c r="C60" s="624" t="str">
        <f>IF(A60="","",기본자료!$E$38)</f>
        <v/>
      </c>
      <c r="D60" s="626" t="str">
        <f>IF(C60="","",시가!R$3)</f>
        <v/>
      </c>
      <c r="E60" s="188" t="str">
        <f>IF(C60="","","침엽수")</f>
        <v/>
      </c>
      <c r="F60" s="189"/>
      <c r="G60" s="190"/>
      <c r="H60" s="422">
        <f>IF(OR(G60="적용",G62="적용"),1,0)</f>
        <v>0</v>
      </c>
      <c r="I60" s="68"/>
      <c r="J60" s="68"/>
      <c r="K60" s="68"/>
      <c r="L60" s="68"/>
      <c r="M60" s="68"/>
    </row>
    <row r="61" spans="1:13" x14ac:dyDescent="0.15">
      <c r="A61" s="620"/>
      <c r="B61" s="623"/>
      <c r="C61" s="625"/>
      <c r="D61" s="627"/>
      <c r="E61" s="191" t="str">
        <f>IF(C60="","","활엽수")</f>
        <v/>
      </c>
      <c r="F61" s="192"/>
      <c r="G61" s="193"/>
      <c r="H61" s="68"/>
      <c r="I61" s="68"/>
      <c r="J61" s="68"/>
      <c r="K61" s="68"/>
      <c r="L61" s="68"/>
      <c r="M61" s="68"/>
    </row>
    <row r="62" spans="1:13" ht="16.5" customHeight="1" x14ac:dyDescent="0.15">
      <c r="A62" s="620"/>
      <c r="B62" s="628" t="s">
        <v>286</v>
      </c>
      <c r="C62" s="425" t="str">
        <f>IF(A60="","",기본자료!$B$38)</f>
        <v/>
      </c>
      <c r="D62" s="196" t="str">
        <f>IF(C62="","",기본자료!$H$38)</f>
        <v/>
      </c>
      <c r="E62" s="197" t="str">
        <f>IF(C62="","","침엽수")</f>
        <v/>
      </c>
      <c r="F62" s="198"/>
      <c r="G62" s="199"/>
      <c r="H62" s="68"/>
      <c r="I62" s="68"/>
      <c r="J62" s="68"/>
      <c r="K62" s="68"/>
      <c r="L62" s="68"/>
      <c r="M62" s="68"/>
    </row>
    <row r="63" spans="1:13" ht="17.25" thickBot="1" x14ac:dyDescent="0.2">
      <c r="A63" s="620"/>
      <c r="B63" s="629"/>
      <c r="C63" s="424" t="str">
        <f>C60</f>
        <v/>
      </c>
      <c r="D63" s="423" t="str">
        <f>IF(C63="","",시가!R3-D62)</f>
        <v/>
      </c>
      <c r="E63" s="191" t="str">
        <f>IF(C62="","","활엽수")</f>
        <v/>
      </c>
      <c r="F63" s="202"/>
      <c r="G63" s="193"/>
      <c r="H63" s="68"/>
      <c r="I63" s="68"/>
      <c r="J63" s="68"/>
      <c r="K63" s="68"/>
      <c r="L63" s="68"/>
      <c r="M63" s="68"/>
    </row>
    <row r="64" spans="1:13" ht="17.25" thickTop="1" x14ac:dyDescent="0.15">
      <c r="A64" s="619" t="str">
        <f>IF(시가!S4="","",시가!S4)</f>
        <v/>
      </c>
      <c r="B64" s="622" t="s">
        <v>285</v>
      </c>
      <c r="C64" s="624" t="str">
        <f>IF(A64="","",기본자료!$E$38)</f>
        <v/>
      </c>
      <c r="D64" s="626" t="str">
        <f>IF(C64="","",시가!S$3)</f>
        <v/>
      </c>
      <c r="E64" s="188" t="str">
        <f>IF(C64="","","침엽수")</f>
        <v/>
      </c>
      <c r="F64" s="189"/>
      <c r="G64" s="190"/>
      <c r="H64" s="422">
        <f>IF(OR(G64="적용",G66="적용"),1,0)</f>
        <v>0</v>
      </c>
      <c r="I64" s="68"/>
      <c r="J64" s="68"/>
      <c r="K64" s="68"/>
      <c r="L64" s="68"/>
      <c r="M64" s="68"/>
    </row>
    <row r="65" spans="1:13" x14ac:dyDescent="0.15">
      <c r="A65" s="620"/>
      <c r="B65" s="623"/>
      <c r="C65" s="625"/>
      <c r="D65" s="627"/>
      <c r="E65" s="191" t="str">
        <f>IF(C64="","","활엽수")</f>
        <v/>
      </c>
      <c r="F65" s="192"/>
      <c r="G65" s="193"/>
      <c r="H65" s="68"/>
      <c r="I65" s="68"/>
      <c r="J65" s="68"/>
      <c r="K65" s="68"/>
      <c r="L65" s="68"/>
      <c r="M65" s="68"/>
    </row>
    <row r="66" spans="1:13" x14ac:dyDescent="0.15">
      <c r="A66" s="620"/>
      <c r="B66" s="628" t="s">
        <v>286</v>
      </c>
      <c r="C66" s="425" t="str">
        <f>IF(A64="","",기본자료!$B$38)</f>
        <v/>
      </c>
      <c r="D66" s="196" t="str">
        <f>IF(C66="","",기본자료!$H$38)</f>
        <v/>
      </c>
      <c r="E66" s="197" t="str">
        <f>IF(C66="","","침엽수")</f>
        <v/>
      </c>
      <c r="F66" s="198"/>
      <c r="G66" s="199"/>
      <c r="H66" s="68"/>
      <c r="I66" s="68"/>
      <c r="J66" s="68"/>
      <c r="K66" s="68"/>
      <c r="L66" s="68"/>
      <c r="M66" s="68"/>
    </row>
    <row r="67" spans="1:13" ht="17.25" thickBot="1" x14ac:dyDescent="0.2">
      <c r="A67" s="621"/>
      <c r="B67" s="629"/>
      <c r="C67" s="329" t="str">
        <f>C64</f>
        <v/>
      </c>
      <c r="D67" s="329" t="str">
        <f>IF(C67="","",시가!S3-D66)</f>
        <v/>
      </c>
      <c r="E67" s="328" t="str">
        <f>IF(C66="","","활엽수")</f>
        <v/>
      </c>
      <c r="F67" s="330"/>
      <c r="G67" s="331"/>
      <c r="H67" s="68"/>
      <c r="I67" s="68"/>
      <c r="J67" s="68"/>
      <c r="K67" s="68"/>
      <c r="L67" s="68"/>
      <c r="M67" s="68"/>
    </row>
    <row r="68" spans="1:13" ht="17.25" thickTop="1" x14ac:dyDescent="0.15">
      <c r="A68" s="619" t="str">
        <f>IF(시가!T4="","",시가!T4)</f>
        <v/>
      </c>
      <c r="B68" s="622" t="s">
        <v>285</v>
      </c>
      <c r="C68" s="624" t="str">
        <f>IF(A68="","",기본자료!$E$38)</f>
        <v/>
      </c>
      <c r="D68" s="626" t="str">
        <f>IF(C68="","",시가!T$3)</f>
        <v/>
      </c>
      <c r="E68" s="428" t="str">
        <f>IF(C68="","","침엽수")</f>
        <v/>
      </c>
      <c r="F68" s="189"/>
      <c r="G68" s="190"/>
      <c r="H68" s="422">
        <f>IF(OR(G68="적용",G70="적용"),1,0)</f>
        <v>0</v>
      </c>
      <c r="I68" s="68"/>
      <c r="J68" s="68"/>
      <c r="K68" s="68"/>
      <c r="L68" s="68"/>
      <c r="M68" s="68"/>
    </row>
    <row r="69" spans="1:13" x14ac:dyDescent="0.15">
      <c r="A69" s="620"/>
      <c r="B69" s="623"/>
      <c r="C69" s="625"/>
      <c r="D69" s="627"/>
      <c r="E69" s="429" t="str">
        <f>IF(C68="","","활엽수")</f>
        <v/>
      </c>
      <c r="F69" s="192"/>
      <c r="G69" s="193"/>
      <c r="H69" s="68"/>
      <c r="I69" s="68"/>
      <c r="J69" s="68"/>
      <c r="K69" s="68"/>
      <c r="L69" s="68"/>
      <c r="M69" s="68"/>
    </row>
    <row r="70" spans="1:13" x14ac:dyDescent="0.15">
      <c r="A70" s="620"/>
      <c r="B70" s="628" t="s">
        <v>286</v>
      </c>
      <c r="C70" s="425" t="str">
        <f>IF(A68="","",기본자료!$B$38)</f>
        <v/>
      </c>
      <c r="D70" s="196" t="str">
        <f>IF(C70="","",기본자료!$H$38)</f>
        <v/>
      </c>
      <c r="E70" s="197" t="str">
        <f>IF(C70="","","침엽수")</f>
        <v/>
      </c>
      <c r="F70" s="198"/>
      <c r="G70" s="199"/>
      <c r="H70" s="68"/>
      <c r="I70" s="68"/>
      <c r="J70" s="68"/>
      <c r="K70" s="68"/>
      <c r="L70" s="68"/>
      <c r="M70" s="68"/>
    </row>
    <row r="71" spans="1:13" ht="17.25" thickBot="1" x14ac:dyDescent="0.2">
      <c r="A71" s="621"/>
      <c r="B71" s="629"/>
      <c r="C71" s="329" t="str">
        <f>C68</f>
        <v/>
      </c>
      <c r="D71" s="329" t="str">
        <f>IF(C71="","",시가!T3-D70)</f>
        <v/>
      </c>
      <c r="E71" s="328" t="str">
        <f>IF(C70="","","활엽수")</f>
        <v/>
      </c>
      <c r="F71" s="330"/>
      <c r="G71" s="331"/>
      <c r="H71" s="68"/>
      <c r="I71" s="68"/>
      <c r="J71" s="68"/>
      <c r="K71" s="68"/>
      <c r="L71" s="68"/>
      <c r="M71" s="68"/>
    </row>
    <row r="72" spans="1:13" ht="17.25" thickTop="1" x14ac:dyDescent="0.15">
      <c r="A72" s="630" t="str">
        <f>IF(시가!U4="","",시가!U4)</f>
        <v/>
      </c>
      <c r="B72" s="622" t="s">
        <v>285</v>
      </c>
      <c r="C72" s="624" t="str">
        <f>IF(A72="","",기본자료!$E$38)</f>
        <v/>
      </c>
      <c r="D72" s="626" t="str">
        <f>IF(C72="","",시가!U$3)</f>
        <v/>
      </c>
      <c r="E72" s="430" t="str">
        <f>IF(C72="","","침엽수")</f>
        <v/>
      </c>
      <c r="F72" s="189"/>
      <c r="G72" s="190"/>
      <c r="H72" s="422">
        <f>IF(OR(G72="적용",G74="적용"),1,0)</f>
        <v>0</v>
      </c>
      <c r="I72" s="68"/>
      <c r="J72" s="68"/>
      <c r="K72" s="68"/>
      <c r="L72" s="68"/>
      <c r="M72" s="68"/>
    </row>
    <row r="73" spans="1:13" x14ac:dyDescent="0.15">
      <c r="A73" s="631"/>
      <c r="B73" s="623"/>
      <c r="C73" s="625"/>
      <c r="D73" s="627"/>
      <c r="E73" s="431" t="str">
        <f>IF(C72="","","활엽수")</f>
        <v/>
      </c>
      <c r="F73" s="192"/>
      <c r="G73" s="193"/>
      <c r="H73" s="68"/>
      <c r="I73" s="68"/>
      <c r="J73" s="68"/>
      <c r="K73" s="68"/>
      <c r="L73" s="68"/>
      <c r="M73" s="68"/>
    </row>
    <row r="74" spans="1:13" x14ac:dyDescent="0.15">
      <c r="A74" s="631"/>
      <c r="B74" s="628" t="s">
        <v>286</v>
      </c>
      <c r="C74" s="425" t="str">
        <f>IF(A72="","",기본자료!$B$38)</f>
        <v/>
      </c>
      <c r="D74" s="196" t="str">
        <f>IF(C74="","",기본자료!$H$38)</f>
        <v/>
      </c>
      <c r="E74" s="197" t="str">
        <f>IF(C74="","","침엽수")</f>
        <v/>
      </c>
      <c r="F74" s="198"/>
      <c r="G74" s="199"/>
      <c r="H74" s="68"/>
      <c r="I74" s="68"/>
      <c r="J74" s="68"/>
      <c r="K74" s="68"/>
      <c r="L74" s="68"/>
      <c r="M74" s="68"/>
    </row>
    <row r="75" spans="1:13" ht="17.25" thickBot="1" x14ac:dyDescent="0.2">
      <c r="A75" s="632"/>
      <c r="B75" s="629"/>
      <c r="C75" s="329" t="str">
        <f>C72</f>
        <v/>
      </c>
      <c r="D75" s="329" t="str">
        <f>IF(C75="","",시가!U3-D74)</f>
        <v/>
      </c>
      <c r="E75" s="328" t="str">
        <f>IF(C74="","","활엽수")</f>
        <v/>
      </c>
      <c r="F75" s="330"/>
      <c r="G75" s="331"/>
      <c r="H75" s="68"/>
      <c r="I75" s="68"/>
      <c r="J75" s="68"/>
      <c r="K75" s="68"/>
      <c r="L75" s="68"/>
      <c r="M75" s="68"/>
    </row>
    <row r="76" spans="1:13" ht="17.25" thickTop="1" x14ac:dyDescent="0.15">
      <c r="A76" s="619" t="str">
        <f>IF(시가!V4="","",시가!V4)</f>
        <v/>
      </c>
      <c r="B76" s="622" t="s">
        <v>285</v>
      </c>
      <c r="C76" s="624" t="str">
        <f>IF(A76="","",기본자료!$E$38)</f>
        <v/>
      </c>
      <c r="D76" s="626" t="str">
        <f>IF(C76="","",시가!V$3)</f>
        <v/>
      </c>
      <c r="E76" s="430" t="str">
        <f>IF(C76="","","침엽수")</f>
        <v/>
      </c>
      <c r="F76" s="189"/>
      <c r="G76" s="190"/>
      <c r="H76" s="422">
        <f>IF(OR(G76="적용",G78="적용"),1,0)</f>
        <v>0</v>
      </c>
      <c r="I76" s="68"/>
      <c r="J76" s="68"/>
      <c r="K76" s="68"/>
      <c r="L76" s="68"/>
      <c r="M76" s="68"/>
    </row>
    <row r="77" spans="1:13" x14ac:dyDescent="0.15">
      <c r="A77" s="620"/>
      <c r="B77" s="623"/>
      <c r="C77" s="625"/>
      <c r="D77" s="627"/>
      <c r="E77" s="431" t="str">
        <f>IF(C76="","","활엽수")</f>
        <v/>
      </c>
      <c r="F77" s="192"/>
      <c r="G77" s="193"/>
      <c r="H77" s="68"/>
      <c r="I77" s="68"/>
      <c r="J77" s="68"/>
      <c r="K77" s="68"/>
      <c r="L77" s="68"/>
      <c r="M77" s="68"/>
    </row>
    <row r="78" spans="1:13" x14ac:dyDescent="0.15">
      <c r="A78" s="620"/>
      <c r="B78" s="628" t="s">
        <v>286</v>
      </c>
      <c r="C78" s="425" t="str">
        <f>IF(A76="","",기본자료!$B$38)</f>
        <v/>
      </c>
      <c r="D78" s="196" t="str">
        <f>IF(C78="","",기본자료!$H$38)</f>
        <v/>
      </c>
      <c r="E78" s="197" t="str">
        <f>IF(C78="","","침엽수")</f>
        <v/>
      </c>
      <c r="F78" s="198"/>
      <c r="G78" s="199"/>
      <c r="H78" s="68"/>
      <c r="I78" s="68"/>
      <c r="J78" s="68"/>
      <c r="K78" s="68"/>
      <c r="L78" s="68"/>
      <c r="M78" s="68"/>
    </row>
    <row r="79" spans="1:13" ht="17.25" thickBot="1" x14ac:dyDescent="0.2">
      <c r="A79" s="621"/>
      <c r="B79" s="629"/>
      <c r="C79" s="329" t="str">
        <f>C76</f>
        <v/>
      </c>
      <c r="D79" s="329" t="str">
        <f>IF(C79="","",시가!V3-D78)</f>
        <v/>
      </c>
      <c r="E79" s="328" t="str">
        <f>IF(C78="","","활엽수")</f>
        <v/>
      </c>
      <c r="F79" s="330"/>
      <c r="G79" s="331"/>
      <c r="H79" s="68"/>
      <c r="I79" s="68"/>
      <c r="J79" s="68"/>
      <c r="K79" s="68"/>
      <c r="L79" s="68"/>
      <c r="M79" s="68"/>
    </row>
    <row r="80" spans="1:13" ht="17.25" thickTop="1" x14ac:dyDescent="0.15">
      <c r="A80" s="619" t="str">
        <f>IF(시가!W4="","",시가!W4)</f>
        <v/>
      </c>
      <c r="B80" s="622" t="s">
        <v>285</v>
      </c>
      <c r="C80" s="624" t="str">
        <f>IF(A80="","",기본자료!$E$38)</f>
        <v/>
      </c>
      <c r="D80" s="626" t="str">
        <f>IF(C80="","",시가!W$3)</f>
        <v/>
      </c>
      <c r="E80" s="430" t="str">
        <f>IF(C80="","","침엽수")</f>
        <v/>
      </c>
      <c r="F80" s="189"/>
      <c r="G80" s="190"/>
      <c r="H80" s="422">
        <f>IF(OR(G80="적용",G82="적용"),1,0)</f>
        <v>0</v>
      </c>
      <c r="I80" s="68"/>
      <c r="J80" s="68"/>
      <c r="K80" s="68"/>
      <c r="L80" s="68"/>
      <c r="M80" s="68"/>
    </row>
    <row r="81" spans="1:13" x14ac:dyDescent="0.15">
      <c r="A81" s="620"/>
      <c r="B81" s="623"/>
      <c r="C81" s="625"/>
      <c r="D81" s="627"/>
      <c r="E81" s="431" t="str">
        <f>IF(C80="","","활엽수")</f>
        <v/>
      </c>
      <c r="F81" s="192"/>
      <c r="G81" s="193"/>
      <c r="H81" s="68"/>
      <c r="I81" s="68"/>
      <c r="J81" s="68"/>
      <c r="K81" s="68"/>
      <c r="L81" s="68"/>
      <c r="M81" s="68"/>
    </row>
    <row r="82" spans="1:13" x14ac:dyDescent="0.15">
      <c r="A82" s="620"/>
      <c r="B82" s="628" t="s">
        <v>286</v>
      </c>
      <c r="C82" s="425" t="str">
        <f>IF(A80="","",기본자료!$B$38)</f>
        <v/>
      </c>
      <c r="D82" s="196" t="str">
        <f>IF(C82="","",기본자료!$H$38)</f>
        <v/>
      </c>
      <c r="E82" s="197" t="str">
        <f>IF(C82="","","침엽수")</f>
        <v/>
      </c>
      <c r="F82" s="198"/>
      <c r="G82" s="199"/>
      <c r="H82" s="68"/>
      <c r="I82" s="68"/>
      <c r="J82" s="68"/>
      <c r="K82" s="68"/>
      <c r="L82" s="68"/>
      <c r="M82" s="68"/>
    </row>
    <row r="83" spans="1:13" ht="17.25" thickBot="1" x14ac:dyDescent="0.2">
      <c r="A83" s="621"/>
      <c r="B83" s="629"/>
      <c r="C83" s="329" t="str">
        <f>C80</f>
        <v/>
      </c>
      <c r="D83" s="329" t="str">
        <f>IF(C83="","",시가!W3-D82)</f>
        <v/>
      </c>
      <c r="E83" s="328" t="str">
        <f>IF(C82="","","활엽수")</f>
        <v/>
      </c>
      <c r="F83" s="330"/>
      <c r="G83" s="331"/>
      <c r="H83" s="68"/>
      <c r="I83" s="68"/>
      <c r="J83" s="68"/>
      <c r="K83" s="68"/>
      <c r="L83" s="68"/>
      <c r="M83" s="68"/>
    </row>
    <row r="84" spans="1:13" ht="17.25" thickTop="1" x14ac:dyDescent="0.15">
      <c r="A84" s="619" t="str">
        <f>IF(시가!X4="","",시가!X4)</f>
        <v/>
      </c>
      <c r="B84" s="622" t="s">
        <v>285</v>
      </c>
      <c r="C84" s="624" t="str">
        <f>IF(A84="","",기본자료!$E$38)</f>
        <v/>
      </c>
      <c r="D84" s="626" t="str">
        <f>IF(C84="","",시가!X$3)</f>
        <v/>
      </c>
      <c r="E84" s="430" t="str">
        <f>IF(C84="","","침엽수")</f>
        <v/>
      </c>
      <c r="F84" s="189"/>
      <c r="G84" s="190"/>
      <c r="H84" s="422">
        <f>IF(OR(G84="적용",G86="적용"),1,0)</f>
        <v>0</v>
      </c>
      <c r="I84" s="68"/>
      <c r="J84" s="68"/>
      <c r="K84" s="68"/>
      <c r="L84" s="68"/>
      <c r="M84" s="68"/>
    </row>
    <row r="85" spans="1:13" x14ac:dyDescent="0.15">
      <c r="A85" s="620"/>
      <c r="B85" s="623"/>
      <c r="C85" s="625"/>
      <c r="D85" s="627"/>
      <c r="E85" s="431" t="str">
        <f>IF(C84="","","활엽수")</f>
        <v/>
      </c>
      <c r="F85" s="192"/>
      <c r="G85" s="193"/>
      <c r="H85" s="68"/>
      <c r="I85" s="68"/>
      <c r="J85" s="68"/>
      <c r="K85" s="68"/>
      <c r="L85" s="68"/>
      <c r="M85" s="68"/>
    </row>
    <row r="86" spans="1:13" x14ac:dyDescent="0.15">
      <c r="A86" s="620"/>
      <c r="B86" s="628" t="s">
        <v>286</v>
      </c>
      <c r="C86" s="425" t="str">
        <f>IF(A84="","",기본자료!$B$38)</f>
        <v/>
      </c>
      <c r="D86" s="196" t="str">
        <f>IF(C86="","",기본자료!$H$38)</f>
        <v/>
      </c>
      <c r="E86" s="197" t="str">
        <f>IF(C86="","","침엽수")</f>
        <v/>
      </c>
      <c r="F86" s="198"/>
      <c r="G86" s="199"/>
      <c r="H86" s="68"/>
      <c r="I86" s="68"/>
      <c r="J86" s="68"/>
      <c r="K86" s="68"/>
      <c r="L86" s="68"/>
      <c r="M86" s="68"/>
    </row>
    <row r="87" spans="1:13" ht="17.25" thickBot="1" x14ac:dyDescent="0.2">
      <c r="A87" s="621"/>
      <c r="B87" s="629"/>
      <c r="C87" s="329" t="str">
        <f>C84</f>
        <v/>
      </c>
      <c r="D87" s="329" t="str">
        <f>IF(C87="","",시가!X3-D86)</f>
        <v/>
      </c>
      <c r="E87" s="328" t="str">
        <f>IF(C86="","","활엽수")</f>
        <v/>
      </c>
      <c r="F87" s="330"/>
      <c r="G87" s="331"/>
      <c r="H87" s="68"/>
      <c r="I87" s="68"/>
      <c r="J87" s="68"/>
      <c r="K87" s="68"/>
      <c r="L87" s="68"/>
      <c r="M87" s="68"/>
    </row>
    <row r="88" spans="1:13" ht="17.25" thickTop="1" x14ac:dyDescent="0.15">
      <c r="A88" s="619" t="str">
        <f>IF(시가!Y4="","",시가!Y4)</f>
        <v/>
      </c>
      <c r="B88" s="622" t="s">
        <v>285</v>
      </c>
      <c r="C88" s="624" t="str">
        <f>IF(A88="","",기본자료!$E$38)</f>
        <v/>
      </c>
      <c r="D88" s="626" t="str">
        <f>IF(C88="","",시가!Y$3)</f>
        <v/>
      </c>
      <c r="E88" s="430" t="str">
        <f>IF(C88="","","침엽수")</f>
        <v/>
      </c>
      <c r="F88" s="189"/>
      <c r="G88" s="190"/>
      <c r="H88" s="422">
        <f>IF(OR(G88="적용",G90="적용"),1,0)</f>
        <v>0</v>
      </c>
      <c r="I88" s="68"/>
      <c r="J88" s="68"/>
      <c r="K88" s="68"/>
      <c r="L88" s="68"/>
      <c r="M88" s="68"/>
    </row>
    <row r="89" spans="1:13" x14ac:dyDescent="0.15">
      <c r="A89" s="620"/>
      <c r="B89" s="623"/>
      <c r="C89" s="625"/>
      <c r="D89" s="627"/>
      <c r="E89" s="431" t="str">
        <f>IF(C88="","","활엽수")</f>
        <v/>
      </c>
      <c r="F89" s="192"/>
      <c r="G89" s="193"/>
      <c r="H89" s="68"/>
      <c r="I89" s="68"/>
      <c r="J89" s="68"/>
      <c r="K89" s="68"/>
      <c r="L89" s="68"/>
      <c r="M89" s="68"/>
    </row>
    <row r="90" spans="1:13" x14ac:dyDescent="0.15">
      <c r="A90" s="620"/>
      <c r="B90" s="628" t="s">
        <v>286</v>
      </c>
      <c r="C90" s="425" t="str">
        <f>IF(A88="","",기본자료!$B$38)</f>
        <v/>
      </c>
      <c r="D90" s="196" t="str">
        <f>IF(C90="","",기본자료!$H$38)</f>
        <v/>
      </c>
      <c r="E90" s="197" t="str">
        <f>IF(C90="","","침엽수")</f>
        <v/>
      </c>
      <c r="F90" s="198"/>
      <c r="G90" s="199"/>
      <c r="H90" s="68"/>
      <c r="I90" s="68"/>
      <c r="J90" s="68"/>
      <c r="K90" s="68"/>
      <c r="L90" s="68"/>
      <c r="M90" s="68"/>
    </row>
    <row r="91" spans="1:13" ht="17.25" thickBot="1" x14ac:dyDescent="0.2">
      <c r="A91" s="621"/>
      <c r="B91" s="629"/>
      <c r="C91" s="329" t="str">
        <f>C88</f>
        <v/>
      </c>
      <c r="D91" s="329" t="str">
        <f>IF(C91="","",시가!Y3-D90)</f>
        <v/>
      </c>
      <c r="E91" s="328" t="str">
        <f>IF(C90="","","활엽수")</f>
        <v/>
      </c>
      <c r="F91" s="330"/>
      <c r="G91" s="331"/>
      <c r="H91" s="68"/>
      <c r="I91" s="68"/>
      <c r="J91" s="68"/>
      <c r="K91" s="68"/>
      <c r="L91" s="68"/>
      <c r="M91" s="68"/>
    </row>
    <row r="92" spans="1:13" ht="17.25" thickTop="1" x14ac:dyDescent="0.15">
      <c r="A92" s="619" t="str">
        <f>IF(시가!Z4="","",시가!Z4)</f>
        <v/>
      </c>
      <c r="B92" s="622" t="s">
        <v>285</v>
      </c>
      <c r="C92" s="624" t="str">
        <f>IF(A92="","",기본자료!$E$38)</f>
        <v/>
      </c>
      <c r="D92" s="626" t="str">
        <f>IF(C92="","",시가!Z$3)</f>
        <v/>
      </c>
      <c r="E92" s="430" t="str">
        <f>IF(C92="","","침엽수")</f>
        <v/>
      </c>
      <c r="F92" s="189"/>
      <c r="G92" s="190"/>
      <c r="H92" s="422">
        <f>IF(OR(G92="적용",G94="적용"),1,0)</f>
        <v>0</v>
      </c>
      <c r="I92" s="68"/>
      <c r="J92" s="68"/>
      <c r="K92" s="68"/>
      <c r="L92" s="68"/>
      <c r="M92" s="68"/>
    </row>
    <row r="93" spans="1:13" x14ac:dyDescent="0.15">
      <c r="A93" s="620"/>
      <c r="B93" s="623"/>
      <c r="C93" s="625"/>
      <c r="D93" s="627"/>
      <c r="E93" s="431" t="str">
        <f>IF(C92="","","활엽수")</f>
        <v/>
      </c>
      <c r="F93" s="192"/>
      <c r="G93" s="193"/>
      <c r="H93" s="68"/>
      <c r="I93" s="68"/>
      <c r="J93" s="68"/>
      <c r="K93" s="68"/>
      <c r="L93" s="68"/>
      <c r="M93" s="68"/>
    </row>
    <row r="94" spans="1:13" x14ac:dyDescent="0.15">
      <c r="A94" s="620"/>
      <c r="B94" s="628" t="s">
        <v>286</v>
      </c>
      <c r="C94" s="425" t="str">
        <f>IF(A92="","",기본자료!$B$38)</f>
        <v/>
      </c>
      <c r="D94" s="196" t="str">
        <f>IF(C94="","",기본자료!$H$38)</f>
        <v/>
      </c>
      <c r="E94" s="197" t="str">
        <f>IF(C94="","","침엽수")</f>
        <v/>
      </c>
      <c r="F94" s="198"/>
      <c r="G94" s="199"/>
      <c r="H94" s="68"/>
      <c r="I94" s="68"/>
      <c r="J94" s="68"/>
      <c r="K94" s="68"/>
      <c r="L94" s="68"/>
      <c r="M94" s="68"/>
    </row>
    <row r="95" spans="1:13" ht="17.25" thickBot="1" x14ac:dyDescent="0.2">
      <c r="A95" s="621"/>
      <c r="B95" s="629"/>
      <c r="C95" s="329" t="str">
        <f>C92</f>
        <v/>
      </c>
      <c r="D95" s="329" t="str">
        <f>IF(C95="","",시가!Z3-D94)</f>
        <v/>
      </c>
      <c r="E95" s="328" t="str">
        <f>IF(C94="","","활엽수")</f>
        <v/>
      </c>
      <c r="F95" s="330"/>
      <c r="G95" s="331"/>
      <c r="H95" s="68"/>
      <c r="I95" s="68"/>
      <c r="J95" s="68"/>
      <c r="K95" s="68"/>
      <c r="L95" s="68"/>
      <c r="M95" s="68"/>
    </row>
    <row r="96" spans="1:13" ht="17.25" thickTop="1" x14ac:dyDescent="0.15">
      <c r="A96" s="619" t="str">
        <f>IF(시가!AA4="","",시가!AA4)</f>
        <v/>
      </c>
      <c r="B96" s="622" t="s">
        <v>285</v>
      </c>
      <c r="C96" s="624" t="str">
        <f>IF(A96="","",기본자료!$E$38)</f>
        <v/>
      </c>
      <c r="D96" s="626" t="str">
        <f>IF(C96="","",시가!AA$3)</f>
        <v/>
      </c>
      <c r="E96" s="430" t="str">
        <f>IF(C96="","","침엽수")</f>
        <v/>
      </c>
      <c r="F96" s="189"/>
      <c r="G96" s="190"/>
      <c r="H96" s="422">
        <f>IF(OR(G96="적용",G98="적용"),1,0)</f>
        <v>0</v>
      </c>
      <c r="I96" s="68"/>
      <c r="J96" s="68"/>
      <c r="K96" s="68"/>
      <c r="L96" s="68"/>
      <c r="M96" s="68"/>
    </row>
    <row r="97" spans="1:13" x14ac:dyDescent="0.15">
      <c r="A97" s="620"/>
      <c r="B97" s="623"/>
      <c r="C97" s="625"/>
      <c r="D97" s="627"/>
      <c r="E97" s="431" t="str">
        <f>IF(C96="","","활엽수")</f>
        <v/>
      </c>
      <c r="F97" s="192"/>
      <c r="G97" s="193"/>
      <c r="H97" s="68"/>
      <c r="I97" s="68"/>
      <c r="J97" s="68"/>
      <c r="K97" s="68"/>
      <c r="L97" s="68"/>
      <c r="M97" s="68"/>
    </row>
    <row r="98" spans="1:13" x14ac:dyDescent="0.15">
      <c r="A98" s="620"/>
      <c r="B98" s="628" t="s">
        <v>286</v>
      </c>
      <c r="C98" s="425" t="str">
        <f>IF(A96="","",기본자료!$B$38)</f>
        <v/>
      </c>
      <c r="D98" s="196" t="str">
        <f>IF(C98="","",기본자료!$H$38)</f>
        <v/>
      </c>
      <c r="E98" s="197" t="str">
        <f>IF(C98="","","침엽수")</f>
        <v/>
      </c>
      <c r="F98" s="198"/>
      <c r="G98" s="199"/>
      <c r="H98" s="68"/>
      <c r="I98" s="68"/>
      <c r="J98" s="68"/>
      <c r="K98" s="68"/>
      <c r="L98" s="68"/>
      <c r="M98" s="68"/>
    </row>
    <row r="99" spans="1:13" ht="17.25" thickBot="1" x14ac:dyDescent="0.2">
      <c r="A99" s="621"/>
      <c r="B99" s="629"/>
      <c r="C99" s="329" t="str">
        <f>C96</f>
        <v/>
      </c>
      <c r="D99" s="329" t="str">
        <f>IF(C99="","",시가!AA3-D98)</f>
        <v/>
      </c>
      <c r="E99" s="328" t="str">
        <f>IF(C98="","","활엽수")</f>
        <v/>
      </c>
      <c r="F99" s="330"/>
      <c r="G99" s="331"/>
      <c r="H99" s="68"/>
      <c r="I99" s="68"/>
      <c r="J99" s="68"/>
      <c r="K99" s="68"/>
      <c r="L99" s="68"/>
      <c r="M99" s="68"/>
    </row>
    <row r="100" spans="1:13" ht="17.25" thickTop="1" x14ac:dyDescent="0.15">
      <c r="A100" s="619" t="str">
        <f>IF(시가!AB4="","",시가!AB4)</f>
        <v/>
      </c>
      <c r="B100" s="622" t="s">
        <v>285</v>
      </c>
      <c r="C100" s="624" t="str">
        <f>IF(A100="","",기본자료!$E$38)</f>
        <v/>
      </c>
      <c r="D100" s="626" t="str">
        <f>IF(C100="","",시가!AB$3)</f>
        <v/>
      </c>
      <c r="E100" s="430" t="str">
        <f>IF(C100="","","침엽수")</f>
        <v/>
      </c>
      <c r="F100" s="189"/>
      <c r="G100" s="190"/>
      <c r="H100" s="422">
        <f>IF(OR(G100="적용",G102="적용"),1,0)</f>
        <v>0</v>
      </c>
      <c r="I100" s="68"/>
      <c r="J100" s="68"/>
      <c r="K100" s="68"/>
      <c r="L100" s="68"/>
      <c r="M100" s="68"/>
    </row>
    <row r="101" spans="1:13" x14ac:dyDescent="0.15">
      <c r="A101" s="620"/>
      <c r="B101" s="623"/>
      <c r="C101" s="625"/>
      <c r="D101" s="627"/>
      <c r="E101" s="431" t="str">
        <f>IF(C100="","","활엽수")</f>
        <v/>
      </c>
      <c r="F101" s="192"/>
      <c r="G101" s="193"/>
      <c r="H101" s="68"/>
      <c r="I101" s="68"/>
      <c r="J101" s="68"/>
      <c r="K101" s="68"/>
      <c r="L101" s="68"/>
      <c r="M101" s="68"/>
    </row>
    <row r="102" spans="1:13" x14ac:dyDescent="0.15">
      <c r="A102" s="620"/>
      <c r="B102" s="628" t="s">
        <v>286</v>
      </c>
      <c r="C102" s="425" t="str">
        <f>IF(A100="","",기본자료!$B$38)</f>
        <v/>
      </c>
      <c r="D102" s="196" t="str">
        <f>IF(C102="","",기본자료!$H$38)</f>
        <v/>
      </c>
      <c r="E102" s="197" t="str">
        <f>IF(C102="","","침엽수")</f>
        <v/>
      </c>
      <c r="F102" s="198"/>
      <c r="G102" s="199"/>
      <c r="H102" s="68"/>
      <c r="I102" s="68"/>
      <c r="J102" s="68"/>
      <c r="K102" s="68"/>
      <c r="L102" s="68"/>
      <c r="M102" s="68"/>
    </row>
    <row r="103" spans="1:13" ht="17.25" thickBot="1" x14ac:dyDescent="0.2">
      <c r="A103" s="621"/>
      <c r="B103" s="629"/>
      <c r="C103" s="329" t="str">
        <f>C100</f>
        <v/>
      </c>
      <c r="D103" s="329" t="str">
        <f>IF(C103="","",시가!AB3-D102)</f>
        <v/>
      </c>
      <c r="E103" s="328" t="str">
        <f>IF(C102="","","활엽수")</f>
        <v/>
      </c>
      <c r="F103" s="330"/>
      <c r="G103" s="331"/>
      <c r="H103" s="68"/>
      <c r="I103" s="68"/>
      <c r="J103" s="68"/>
      <c r="K103" s="68"/>
      <c r="L103" s="68"/>
      <c r="M103" s="68"/>
    </row>
    <row r="104" spans="1:13" ht="17.25" thickTop="1" x14ac:dyDescent="0.15">
      <c r="A104" s="619" t="str">
        <f>IF(시가!AC4="","",시가!AC4)</f>
        <v/>
      </c>
      <c r="B104" s="622" t="s">
        <v>285</v>
      </c>
      <c r="C104" s="624" t="str">
        <f>IF(A104="","",기본자료!$E$38)</f>
        <v/>
      </c>
      <c r="D104" s="626" t="str">
        <f>IF(C104="","",시가!AC$3)</f>
        <v/>
      </c>
      <c r="E104" s="430" t="str">
        <f>IF(C104="","","침엽수")</f>
        <v/>
      </c>
      <c r="F104" s="189"/>
      <c r="G104" s="190"/>
      <c r="H104" s="422">
        <f>IF(OR(G104="적용",G106="적용"),1,0)</f>
        <v>0</v>
      </c>
      <c r="I104" s="68"/>
      <c r="J104" s="68"/>
      <c r="K104" s="68"/>
      <c r="L104" s="68"/>
      <c r="M104" s="68"/>
    </row>
    <row r="105" spans="1:13" x14ac:dyDescent="0.15">
      <c r="A105" s="620"/>
      <c r="B105" s="623"/>
      <c r="C105" s="625"/>
      <c r="D105" s="627"/>
      <c r="E105" s="431" t="str">
        <f>IF(C104="","","활엽수")</f>
        <v/>
      </c>
      <c r="F105" s="192"/>
      <c r="G105" s="193"/>
      <c r="H105" s="68"/>
      <c r="I105" s="68"/>
      <c r="J105" s="68"/>
      <c r="K105" s="68"/>
      <c r="L105" s="68"/>
      <c r="M105" s="68"/>
    </row>
    <row r="106" spans="1:13" x14ac:dyDescent="0.15">
      <c r="A106" s="620"/>
      <c r="B106" s="628" t="s">
        <v>286</v>
      </c>
      <c r="C106" s="425" t="str">
        <f>IF(A104="","",기본자료!$B$38)</f>
        <v/>
      </c>
      <c r="D106" s="196" t="str">
        <f>IF(C106="","",기본자료!$H$38)</f>
        <v/>
      </c>
      <c r="E106" s="197" t="str">
        <f>IF(C106="","","침엽수")</f>
        <v/>
      </c>
      <c r="F106" s="198"/>
      <c r="G106" s="199"/>
      <c r="H106" s="68"/>
      <c r="I106" s="68"/>
      <c r="J106" s="68"/>
      <c r="K106" s="68"/>
      <c r="L106" s="68"/>
      <c r="M106" s="68"/>
    </row>
    <row r="107" spans="1:13" ht="17.25" thickBot="1" x14ac:dyDescent="0.2">
      <c r="A107" s="621"/>
      <c r="B107" s="629"/>
      <c r="C107" s="329" t="str">
        <f>C104</f>
        <v/>
      </c>
      <c r="D107" s="329" t="str">
        <f>IF(C107="","",시가!AC3-D106)</f>
        <v/>
      </c>
      <c r="E107" s="328" t="str">
        <f>IF(C106="","","활엽수")</f>
        <v/>
      </c>
      <c r="F107" s="330"/>
      <c r="G107" s="331"/>
      <c r="H107" s="68"/>
      <c r="I107" s="68"/>
      <c r="J107" s="68"/>
      <c r="K107" s="68"/>
      <c r="L107" s="68"/>
      <c r="M107" s="68"/>
    </row>
    <row r="108" spans="1:13" ht="17.25" thickTop="1" x14ac:dyDescent="0.3"/>
  </sheetData>
  <mergeCells count="132">
    <mergeCell ref="A68:A71"/>
    <mergeCell ref="B68:B69"/>
    <mergeCell ref="C68:C69"/>
    <mergeCell ref="D68:D69"/>
    <mergeCell ref="B70:B71"/>
    <mergeCell ref="A52:A55"/>
    <mergeCell ref="B52:B53"/>
    <mergeCell ref="C52:C53"/>
    <mergeCell ref="D52:D53"/>
    <mergeCell ref="B54:B55"/>
    <mergeCell ref="A64:A67"/>
    <mergeCell ref="B64:B65"/>
    <mergeCell ref="C64:C65"/>
    <mergeCell ref="D64:D65"/>
    <mergeCell ref="A56:A59"/>
    <mergeCell ref="B56:B57"/>
    <mergeCell ref="C56:C57"/>
    <mergeCell ref="D56:D57"/>
    <mergeCell ref="A60:A63"/>
    <mergeCell ref="B60:B61"/>
    <mergeCell ref="C60:C61"/>
    <mergeCell ref="D60:D61"/>
    <mergeCell ref="B58:B59"/>
    <mergeCell ref="B62:B63"/>
    <mergeCell ref="B66:B67"/>
    <mergeCell ref="A44:A47"/>
    <mergeCell ref="B44:B45"/>
    <mergeCell ref="C44:C45"/>
    <mergeCell ref="D44:D45"/>
    <mergeCell ref="B42:B43"/>
    <mergeCell ref="B46:B47"/>
    <mergeCell ref="A48:A51"/>
    <mergeCell ref="B48:B49"/>
    <mergeCell ref="C48:C49"/>
    <mergeCell ref="D48:D49"/>
    <mergeCell ref="B50:B51"/>
    <mergeCell ref="A36:A39"/>
    <mergeCell ref="B36:B37"/>
    <mergeCell ref="C36:C37"/>
    <mergeCell ref="D36:D37"/>
    <mergeCell ref="B34:B35"/>
    <mergeCell ref="B38:B39"/>
    <mergeCell ref="A40:A43"/>
    <mergeCell ref="B40:B41"/>
    <mergeCell ref="C40:C41"/>
    <mergeCell ref="D40:D41"/>
    <mergeCell ref="A28:A31"/>
    <mergeCell ref="B28:B29"/>
    <mergeCell ref="C28:C29"/>
    <mergeCell ref="D28:D29"/>
    <mergeCell ref="B26:B27"/>
    <mergeCell ref="B30:B31"/>
    <mergeCell ref="A32:A35"/>
    <mergeCell ref="B32:B33"/>
    <mergeCell ref="C32:C33"/>
    <mergeCell ref="D32:D33"/>
    <mergeCell ref="C16:C17"/>
    <mergeCell ref="D16:D17"/>
    <mergeCell ref="A20:A23"/>
    <mergeCell ref="B20:B21"/>
    <mergeCell ref="C20:C21"/>
    <mergeCell ref="D20:D21"/>
    <mergeCell ref="B18:B19"/>
    <mergeCell ref="B22:B23"/>
    <mergeCell ref="A24:A27"/>
    <mergeCell ref="B24:B25"/>
    <mergeCell ref="C24:C25"/>
    <mergeCell ref="D24:D25"/>
    <mergeCell ref="A72:A75"/>
    <mergeCell ref="B72:B73"/>
    <mergeCell ref="C72:C73"/>
    <mergeCell ref="D72:D73"/>
    <mergeCell ref="B74:B75"/>
    <mergeCell ref="A1:G1"/>
    <mergeCell ref="A5:A7"/>
    <mergeCell ref="B5:D5"/>
    <mergeCell ref="E5:F5"/>
    <mergeCell ref="B6:B7"/>
    <mergeCell ref="E6:E7"/>
    <mergeCell ref="F6:F7"/>
    <mergeCell ref="A8:A11"/>
    <mergeCell ref="B8:B9"/>
    <mergeCell ref="C8:C9"/>
    <mergeCell ref="D8:D9"/>
    <mergeCell ref="A12:A15"/>
    <mergeCell ref="B12:B13"/>
    <mergeCell ref="C12:C13"/>
    <mergeCell ref="D12:D13"/>
    <mergeCell ref="B10:B11"/>
    <mergeCell ref="B14:B15"/>
    <mergeCell ref="A16:A19"/>
    <mergeCell ref="B16:B17"/>
    <mergeCell ref="A80:A83"/>
    <mergeCell ref="B80:B81"/>
    <mergeCell ref="C80:C81"/>
    <mergeCell ref="D80:D81"/>
    <mergeCell ref="B82:B83"/>
    <mergeCell ref="A76:A79"/>
    <mergeCell ref="B76:B77"/>
    <mergeCell ref="C76:C77"/>
    <mergeCell ref="D76:D77"/>
    <mergeCell ref="B78:B79"/>
    <mergeCell ref="A88:A91"/>
    <mergeCell ref="B88:B89"/>
    <mergeCell ref="C88:C89"/>
    <mergeCell ref="D88:D89"/>
    <mergeCell ref="B90:B91"/>
    <mergeCell ref="A84:A87"/>
    <mergeCell ref="B84:B85"/>
    <mergeCell ref="C84:C85"/>
    <mergeCell ref="D84:D85"/>
    <mergeCell ref="B86:B87"/>
    <mergeCell ref="A96:A99"/>
    <mergeCell ref="B96:B97"/>
    <mergeCell ref="C96:C97"/>
    <mergeCell ref="D96:D97"/>
    <mergeCell ref="B98:B99"/>
    <mergeCell ref="A92:A95"/>
    <mergeCell ref="B92:B93"/>
    <mergeCell ref="C92:C93"/>
    <mergeCell ref="D92:D93"/>
    <mergeCell ref="B94:B95"/>
    <mergeCell ref="A104:A107"/>
    <mergeCell ref="B104:B105"/>
    <mergeCell ref="C104:C105"/>
    <mergeCell ref="D104:D105"/>
    <mergeCell ref="B106:B107"/>
    <mergeCell ref="A100:A103"/>
    <mergeCell ref="B100:B101"/>
    <mergeCell ref="C100:C101"/>
    <mergeCell ref="D100:D101"/>
    <mergeCell ref="B102:B103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1"/>
  <dimension ref="A1:L257"/>
  <sheetViews>
    <sheetView zoomScaleNormal="100" workbookViewId="0">
      <selection sqref="A1:K1"/>
    </sheetView>
  </sheetViews>
  <sheetFormatPr defaultRowHeight="16.5" x14ac:dyDescent="0.3"/>
  <cols>
    <col min="1" max="1" width="11.75" customWidth="1"/>
    <col min="12" max="12" width="0" hidden="1" customWidth="1"/>
  </cols>
  <sheetData>
    <row r="1" spans="1:12" ht="22.5" x14ac:dyDescent="0.3">
      <c r="A1" s="649" t="s">
        <v>109</v>
      </c>
      <c r="B1" s="649"/>
      <c r="C1" s="649"/>
      <c r="D1" s="649"/>
      <c r="E1" s="649"/>
      <c r="F1" s="649"/>
      <c r="G1" s="649"/>
      <c r="H1" s="649"/>
      <c r="I1" s="649"/>
      <c r="J1" s="649"/>
      <c r="K1" s="650"/>
      <c r="L1" s="66"/>
    </row>
    <row r="2" spans="1:12" x14ac:dyDescent="0.15">
      <c r="A2" s="203"/>
      <c r="B2" s="204"/>
      <c r="C2" s="205"/>
      <c r="D2" s="205"/>
      <c r="E2" s="205"/>
      <c r="F2" s="205"/>
      <c r="G2" s="205"/>
      <c r="H2" s="205"/>
      <c r="I2" s="205"/>
      <c r="J2" s="206"/>
      <c r="K2" s="205"/>
      <c r="L2" s="207"/>
    </row>
    <row r="3" spans="1:12" x14ac:dyDescent="0.15">
      <c r="A3" s="208"/>
      <c r="B3" s="208"/>
      <c r="C3" s="208"/>
      <c r="D3" s="208"/>
      <c r="E3" s="208"/>
      <c r="F3" s="208"/>
      <c r="G3" s="208"/>
      <c r="H3" s="208"/>
      <c r="I3" s="208"/>
      <c r="J3" s="209"/>
      <c r="K3" s="203"/>
      <c r="L3" s="67"/>
    </row>
    <row r="4" spans="1:12" x14ac:dyDescent="0.15">
      <c r="A4" s="651" t="s">
        <v>110</v>
      </c>
      <c r="B4" s="651"/>
      <c r="C4" s="210" t="str">
        <f>수종별재적표!D3</f>
        <v>강릉 54임반 4(라)소반 외 1 개소</v>
      </c>
      <c r="D4" s="211"/>
      <c r="E4" s="211"/>
      <c r="F4" s="211"/>
      <c r="G4" s="211"/>
      <c r="H4" s="211"/>
      <c r="I4" s="211"/>
      <c r="J4" s="212"/>
      <c r="K4" s="213"/>
      <c r="L4" s="214"/>
    </row>
    <row r="5" spans="1:12" x14ac:dyDescent="0.15">
      <c r="A5" s="215"/>
      <c r="B5" s="215"/>
      <c r="C5" s="215"/>
      <c r="D5" s="215"/>
      <c r="E5" s="215"/>
      <c r="F5" s="215"/>
      <c r="G5" s="215"/>
      <c r="H5" s="215"/>
      <c r="I5" s="215"/>
      <c r="J5" s="216"/>
      <c r="K5" s="213"/>
      <c r="L5" s="214"/>
    </row>
    <row r="6" spans="1:12" x14ac:dyDescent="0.15">
      <c r="A6" s="215"/>
      <c r="B6" s="215"/>
      <c r="C6" s="215"/>
      <c r="D6" s="215"/>
      <c r="E6" s="215"/>
      <c r="F6" s="215"/>
      <c r="G6" s="215"/>
      <c r="H6" s="215"/>
      <c r="I6" s="215"/>
      <c r="J6" s="216"/>
      <c r="K6" s="217"/>
      <c r="L6" s="214"/>
    </row>
    <row r="7" spans="1:12" x14ac:dyDescent="0.3">
      <c r="A7" s="652" t="s">
        <v>111</v>
      </c>
      <c r="B7" s="642" t="s">
        <v>112</v>
      </c>
      <c r="C7" s="642" t="s">
        <v>113</v>
      </c>
      <c r="D7" s="642" t="s">
        <v>114</v>
      </c>
      <c r="E7" s="642" t="s">
        <v>115</v>
      </c>
      <c r="F7" s="656" t="s">
        <v>116</v>
      </c>
      <c r="G7" s="642" t="s">
        <v>117</v>
      </c>
      <c r="H7" s="642" t="s">
        <v>118</v>
      </c>
      <c r="I7" s="642" t="s">
        <v>119</v>
      </c>
      <c r="J7" s="644" t="s">
        <v>120</v>
      </c>
      <c r="K7" s="646" t="s">
        <v>121</v>
      </c>
      <c r="L7" s="218"/>
    </row>
    <row r="8" spans="1:12" x14ac:dyDescent="0.3">
      <c r="A8" s="653"/>
      <c r="B8" s="643"/>
      <c r="C8" s="643"/>
      <c r="D8" s="643"/>
      <c r="E8" s="643"/>
      <c r="F8" s="643"/>
      <c r="G8" s="643"/>
      <c r="H8" s="643"/>
      <c r="I8" s="643"/>
      <c r="J8" s="645"/>
      <c r="K8" s="647"/>
      <c r="L8" s="78"/>
    </row>
    <row r="9" spans="1:12" x14ac:dyDescent="0.3">
      <c r="A9" s="653"/>
      <c r="B9" s="643"/>
      <c r="C9" s="643"/>
      <c r="D9" s="643"/>
      <c r="E9" s="643"/>
      <c r="F9" s="643"/>
      <c r="G9" s="643"/>
      <c r="H9" s="643"/>
      <c r="I9" s="643"/>
      <c r="J9" s="645"/>
      <c r="K9" s="647"/>
      <c r="L9" s="78"/>
    </row>
    <row r="10" spans="1:12" x14ac:dyDescent="0.3">
      <c r="A10" s="654"/>
      <c r="B10" s="655"/>
      <c r="C10" s="655"/>
      <c r="D10" s="655"/>
      <c r="E10" s="655"/>
      <c r="F10" s="655"/>
      <c r="G10" s="643"/>
      <c r="H10" s="643"/>
      <c r="I10" s="643"/>
      <c r="J10" s="645"/>
      <c r="K10" s="648"/>
      <c r="L10" s="78"/>
    </row>
    <row r="11" spans="1:12" x14ac:dyDescent="0.3">
      <c r="A11" s="219" t="s">
        <v>413</v>
      </c>
      <c r="B11" s="220"/>
      <c r="C11" s="221" t="s">
        <v>435</v>
      </c>
      <c r="D11" s="221" t="s">
        <v>432</v>
      </c>
      <c r="E11" s="222">
        <v>243000</v>
      </c>
      <c r="F11" s="223">
        <f>IF(D11="","",기본자료!$K$67)</f>
        <v>8.8000000000000005E-3</v>
      </c>
      <c r="G11" s="224">
        <f t="shared" ref="G11:G74" si="0">IF(E11="","",E11*F11)</f>
        <v>2138.4</v>
      </c>
      <c r="H11" s="225">
        <v>23500</v>
      </c>
      <c r="I11" s="225">
        <f t="shared" ref="I11:I74" si="1">IF(E11="","",G11+H11)</f>
        <v>25638.400000000001</v>
      </c>
      <c r="J11" s="226">
        <f t="shared" ref="J11:J74" si="2">IF(E11="","",E11-I11)</f>
        <v>217361.6</v>
      </c>
      <c r="K11" s="227" t="s">
        <v>21</v>
      </c>
      <c r="L11" s="228"/>
    </row>
    <row r="12" spans="1:12" x14ac:dyDescent="0.3">
      <c r="A12" s="219"/>
      <c r="B12" s="220"/>
      <c r="C12" s="221"/>
      <c r="D12" s="221" t="s">
        <v>430</v>
      </c>
      <c r="E12" s="229">
        <v>277500</v>
      </c>
      <c r="F12" s="223">
        <f>IF(D12="","",기본자료!$K$67)</f>
        <v>8.8000000000000005E-3</v>
      </c>
      <c r="G12" s="224">
        <f t="shared" si="0"/>
        <v>2442</v>
      </c>
      <c r="H12" s="225">
        <v>18800</v>
      </c>
      <c r="I12" s="225">
        <f t="shared" si="1"/>
        <v>21242</v>
      </c>
      <c r="J12" s="226">
        <f t="shared" si="2"/>
        <v>256258</v>
      </c>
      <c r="K12" s="227" t="s">
        <v>442</v>
      </c>
      <c r="L12" s="228"/>
    </row>
    <row r="13" spans="1:12" x14ac:dyDescent="0.3">
      <c r="A13" s="219"/>
      <c r="B13" s="220"/>
      <c r="C13" s="221"/>
      <c r="D13" s="221" t="s">
        <v>429</v>
      </c>
      <c r="E13" s="229">
        <v>210000</v>
      </c>
      <c r="F13" s="223">
        <f>IF(D13="","",기본자료!$K$67)</f>
        <v>8.8000000000000005E-3</v>
      </c>
      <c r="G13" s="224">
        <f t="shared" si="0"/>
        <v>1848</v>
      </c>
      <c r="H13" s="225">
        <v>18800</v>
      </c>
      <c r="I13" s="225">
        <f t="shared" si="1"/>
        <v>20648</v>
      </c>
      <c r="J13" s="226">
        <f t="shared" si="2"/>
        <v>189352</v>
      </c>
      <c r="K13" s="227" t="s">
        <v>21</v>
      </c>
      <c r="L13" s="228"/>
    </row>
    <row r="14" spans="1:12" x14ac:dyDescent="0.3">
      <c r="A14" s="219"/>
      <c r="B14" s="220"/>
      <c r="C14" s="221"/>
      <c r="D14" s="221" t="s">
        <v>424</v>
      </c>
      <c r="E14" s="229">
        <v>235000</v>
      </c>
      <c r="F14" s="223">
        <f>IF(D14="","",기본자료!$K$67)</f>
        <v>8.8000000000000005E-3</v>
      </c>
      <c r="G14" s="224">
        <f t="shared" si="0"/>
        <v>2068</v>
      </c>
      <c r="H14" s="225">
        <v>11100</v>
      </c>
      <c r="I14" s="225">
        <f t="shared" si="1"/>
        <v>13168</v>
      </c>
      <c r="J14" s="226">
        <f t="shared" si="2"/>
        <v>221832</v>
      </c>
      <c r="K14" s="227" t="s">
        <v>21</v>
      </c>
      <c r="L14" s="228"/>
    </row>
    <row r="15" spans="1:12" x14ac:dyDescent="0.3">
      <c r="A15" s="219"/>
      <c r="B15" s="220"/>
      <c r="C15" s="221"/>
      <c r="D15" s="221" t="s">
        <v>423</v>
      </c>
      <c r="E15" s="229">
        <v>195000</v>
      </c>
      <c r="F15" s="223">
        <f>IF(D15="","",기본자료!$K$67)</f>
        <v>8.8000000000000005E-3</v>
      </c>
      <c r="G15" s="224">
        <f t="shared" si="0"/>
        <v>1716</v>
      </c>
      <c r="H15" s="225">
        <v>11100</v>
      </c>
      <c r="I15" s="225">
        <f t="shared" si="1"/>
        <v>12816</v>
      </c>
      <c r="J15" s="226">
        <f t="shared" si="2"/>
        <v>182184</v>
      </c>
      <c r="K15" s="227" t="s">
        <v>21</v>
      </c>
      <c r="L15" s="228"/>
    </row>
    <row r="16" spans="1:12" x14ac:dyDescent="0.3">
      <c r="A16" s="219"/>
      <c r="B16" s="220"/>
      <c r="C16" s="221"/>
      <c r="D16" s="221" t="s">
        <v>425</v>
      </c>
      <c r="E16" s="229">
        <v>210000</v>
      </c>
      <c r="F16" s="223">
        <f>IF(D16="","",기본자료!$K$67)</f>
        <v>8.8000000000000005E-3</v>
      </c>
      <c r="G16" s="224">
        <f t="shared" si="0"/>
        <v>1848</v>
      </c>
      <c r="H16" s="225">
        <v>11100</v>
      </c>
      <c r="I16" s="225">
        <f t="shared" si="1"/>
        <v>12948</v>
      </c>
      <c r="J16" s="226">
        <f t="shared" si="2"/>
        <v>197052</v>
      </c>
      <c r="K16" s="227" t="s">
        <v>21</v>
      </c>
      <c r="L16" s="228"/>
    </row>
    <row r="17" spans="1:12" x14ac:dyDescent="0.3">
      <c r="A17" s="219"/>
      <c r="B17" s="220"/>
      <c r="C17" s="221"/>
      <c r="D17" s="221" t="s">
        <v>426</v>
      </c>
      <c r="E17" s="229">
        <v>243000</v>
      </c>
      <c r="F17" s="223">
        <f>IF(D17="","",기본자료!$K$67)</f>
        <v>8.8000000000000005E-3</v>
      </c>
      <c r="G17" s="224">
        <f t="shared" si="0"/>
        <v>2138.4</v>
      </c>
      <c r="H17" s="225">
        <v>13200</v>
      </c>
      <c r="I17" s="225">
        <f t="shared" si="1"/>
        <v>15338.4</v>
      </c>
      <c r="J17" s="226">
        <f t="shared" si="2"/>
        <v>227661.6</v>
      </c>
      <c r="K17" s="227" t="s">
        <v>21</v>
      </c>
      <c r="L17" s="228"/>
    </row>
    <row r="18" spans="1:12" x14ac:dyDescent="0.3">
      <c r="A18" s="219"/>
      <c r="B18" s="220"/>
      <c r="C18" s="221"/>
      <c r="D18" s="221" t="s">
        <v>431</v>
      </c>
      <c r="E18" s="229">
        <v>209500</v>
      </c>
      <c r="F18" s="223">
        <f>IF(D18="","",기본자료!$K$67)</f>
        <v>8.8000000000000005E-3</v>
      </c>
      <c r="G18" s="224">
        <f t="shared" si="0"/>
        <v>1843.6000000000001</v>
      </c>
      <c r="H18" s="225">
        <v>23500</v>
      </c>
      <c r="I18" s="225">
        <f t="shared" si="1"/>
        <v>25343.599999999999</v>
      </c>
      <c r="J18" s="226">
        <f t="shared" si="2"/>
        <v>184156.4</v>
      </c>
      <c r="K18" s="227" t="s">
        <v>21</v>
      </c>
      <c r="L18" s="228"/>
    </row>
    <row r="19" spans="1:12" x14ac:dyDescent="0.3">
      <c r="A19" s="219"/>
      <c r="B19" s="220"/>
      <c r="C19" s="221"/>
      <c r="D19" s="221" t="s">
        <v>433</v>
      </c>
      <c r="E19" s="229">
        <v>240000</v>
      </c>
      <c r="F19" s="223">
        <f>IF(D19="","",기본자료!$K$67)</f>
        <v>8.8000000000000005E-3</v>
      </c>
      <c r="G19" s="224">
        <f t="shared" si="0"/>
        <v>2112</v>
      </c>
      <c r="H19" s="225">
        <v>23500</v>
      </c>
      <c r="I19" s="225">
        <f t="shared" si="1"/>
        <v>25612</v>
      </c>
      <c r="J19" s="226">
        <f t="shared" si="2"/>
        <v>214388</v>
      </c>
      <c r="K19" s="227" t="s">
        <v>21</v>
      </c>
      <c r="L19" s="228"/>
    </row>
    <row r="20" spans="1:12" x14ac:dyDescent="0.3">
      <c r="A20" s="219"/>
      <c r="B20" s="220"/>
      <c r="C20" s="221"/>
      <c r="D20" s="221" t="s">
        <v>434</v>
      </c>
      <c r="E20" s="229">
        <v>234000</v>
      </c>
      <c r="F20" s="223">
        <f>IF(D20="","",기본자료!$K$67)</f>
        <v>8.8000000000000005E-3</v>
      </c>
      <c r="G20" s="224">
        <f t="shared" si="0"/>
        <v>2059.2000000000003</v>
      </c>
      <c r="H20" s="225">
        <v>23500</v>
      </c>
      <c r="I20" s="225">
        <f t="shared" si="1"/>
        <v>25559.200000000001</v>
      </c>
      <c r="J20" s="226">
        <f t="shared" si="2"/>
        <v>208440.8</v>
      </c>
      <c r="K20" s="227" t="s">
        <v>21</v>
      </c>
      <c r="L20" s="228"/>
    </row>
    <row r="21" spans="1:12" x14ac:dyDescent="0.3">
      <c r="A21" s="219"/>
      <c r="B21" s="220"/>
      <c r="C21" s="221"/>
      <c r="D21" s="221" t="s">
        <v>428</v>
      </c>
      <c r="E21" s="229">
        <v>195000</v>
      </c>
      <c r="F21" s="223">
        <f>IF(D21="","",기본자료!$K$67)</f>
        <v>8.8000000000000005E-3</v>
      </c>
      <c r="G21" s="224">
        <f t="shared" si="0"/>
        <v>1716</v>
      </c>
      <c r="H21" s="225">
        <v>18800</v>
      </c>
      <c r="I21" s="225">
        <f t="shared" si="1"/>
        <v>20516</v>
      </c>
      <c r="J21" s="226">
        <f t="shared" si="2"/>
        <v>174484</v>
      </c>
      <c r="K21" s="227" t="s">
        <v>21</v>
      </c>
      <c r="L21" s="228"/>
    </row>
    <row r="22" spans="1:12" x14ac:dyDescent="0.3">
      <c r="A22" s="219"/>
      <c r="B22" s="220"/>
      <c r="C22" s="221"/>
      <c r="D22" s="221" t="s">
        <v>427</v>
      </c>
      <c r="E22" s="229">
        <v>270000</v>
      </c>
      <c r="F22" s="223">
        <f>IF(D22="","",기본자료!$K$67)</f>
        <v>8.8000000000000005E-3</v>
      </c>
      <c r="G22" s="224">
        <f t="shared" si="0"/>
        <v>2376</v>
      </c>
      <c r="H22" s="225">
        <v>17300</v>
      </c>
      <c r="I22" s="225">
        <f t="shared" si="1"/>
        <v>19676</v>
      </c>
      <c r="J22" s="226">
        <f t="shared" si="2"/>
        <v>250324</v>
      </c>
      <c r="K22" s="227" t="s">
        <v>21</v>
      </c>
      <c r="L22" s="228"/>
    </row>
    <row r="23" spans="1:12" x14ac:dyDescent="0.3">
      <c r="A23" s="219" t="s">
        <v>413</v>
      </c>
      <c r="B23" s="220"/>
      <c r="C23" s="221" t="s">
        <v>436</v>
      </c>
      <c r="D23" s="221" t="s">
        <v>432</v>
      </c>
      <c r="E23" s="229">
        <v>210000</v>
      </c>
      <c r="F23" s="223">
        <f>IF(D23="","",기본자료!$K$67)</f>
        <v>8.8000000000000005E-3</v>
      </c>
      <c r="G23" s="224">
        <f t="shared" si="0"/>
        <v>1848</v>
      </c>
      <c r="H23" s="225">
        <v>23500</v>
      </c>
      <c r="I23" s="225">
        <f t="shared" si="1"/>
        <v>25348</v>
      </c>
      <c r="J23" s="226">
        <f t="shared" si="2"/>
        <v>184652</v>
      </c>
      <c r="K23" s="227" t="s">
        <v>21</v>
      </c>
      <c r="L23" s="228"/>
    </row>
    <row r="24" spans="1:12" x14ac:dyDescent="0.3">
      <c r="A24" s="219"/>
      <c r="B24" s="220"/>
      <c r="C24" s="221"/>
      <c r="D24" s="221" t="s">
        <v>430</v>
      </c>
      <c r="E24" s="229">
        <v>202500</v>
      </c>
      <c r="F24" s="223">
        <f>IF(D24="","",기본자료!$K$67)</f>
        <v>8.8000000000000005E-3</v>
      </c>
      <c r="G24" s="224">
        <f t="shared" si="0"/>
        <v>1782</v>
      </c>
      <c r="H24" s="225">
        <v>18800</v>
      </c>
      <c r="I24" s="225">
        <f t="shared" si="1"/>
        <v>20582</v>
      </c>
      <c r="J24" s="226">
        <f t="shared" si="2"/>
        <v>181918</v>
      </c>
      <c r="K24" s="227" t="s">
        <v>21</v>
      </c>
      <c r="L24" s="228"/>
    </row>
    <row r="25" spans="1:12" x14ac:dyDescent="0.3">
      <c r="A25" s="219"/>
      <c r="B25" s="220"/>
      <c r="C25" s="221"/>
      <c r="D25" s="221" t="s">
        <v>424</v>
      </c>
      <c r="E25" s="229">
        <v>163000</v>
      </c>
      <c r="F25" s="223">
        <f>IF(D25="","",기본자료!$K$67)</f>
        <v>8.8000000000000005E-3</v>
      </c>
      <c r="G25" s="224">
        <f t="shared" si="0"/>
        <v>1434.4</v>
      </c>
      <c r="H25" s="225">
        <v>11100</v>
      </c>
      <c r="I25" s="225">
        <f t="shared" si="1"/>
        <v>12534.4</v>
      </c>
      <c r="J25" s="226">
        <f t="shared" si="2"/>
        <v>150465.60000000001</v>
      </c>
      <c r="K25" s="227" t="s">
        <v>21</v>
      </c>
      <c r="L25" s="228"/>
    </row>
    <row r="26" spans="1:12" x14ac:dyDescent="0.3">
      <c r="A26" s="219"/>
      <c r="B26" s="220"/>
      <c r="C26" s="221"/>
      <c r="D26" s="221" t="s">
        <v>423</v>
      </c>
      <c r="E26" s="229">
        <v>195000</v>
      </c>
      <c r="F26" s="223">
        <f>IF(D26="","",기본자료!$K$67)</f>
        <v>8.8000000000000005E-3</v>
      </c>
      <c r="G26" s="224">
        <f t="shared" si="0"/>
        <v>1716</v>
      </c>
      <c r="H26" s="225">
        <v>11100</v>
      </c>
      <c r="I26" s="225">
        <f t="shared" si="1"/>
        <v>12816</v>
      </c>
      <c r="J26" s="226">
        <f t="shared" si="2"/>
        <v>182184</v>
      </c>
      <c r="K26" s="227" t="s">
        <v>21</v>
      </c>
      <c r="L26" s="228"/>
    </row>
    <row r="27" spans="1:12" x14ac:dyDescent="0.3">
      <c r="A27" s="219"/>
      <c r="B27" s="220"/>
      <c r="C27" s="221"/>
      <c r="D27" s="221" t="s">
        <v>425</v>
      </c>
      <c r="E27" s="229">
        <v>168000</v>
      </c>
      <c r="F27" s="223">
        <f>IF(D27="","",기본자료!$K$67)</f>
        <v>8.8000000000000005E-3</v>
      </c>
      <c r="G27" s="224">
        <f t="shared" si="0"/>
        <v>1478.4</v>
      </c>
      <c r="H27" s="225">
        <v>11100</v>
      </c>
      <c r="I27" s="225">
        <f t="shared" si="1"/>
        <v>12578.4</v>
      </c>
      <c r="J27" s="226">
        <f t="shared" si="2"/>
        <v>155421.6</v>
      </c>
      <c r="K27" s="227" t="s">
        <v>21</v>
      </c>
      <c r="L27" s="228"/>
    </row>
    <row r="28" spans="1:12" x14ac:dyDescent="0.3">
      <c r="A28" s="219"/>
      <c r="B28" s="220"/>
      <c r="C28" s="221"/>
      <c r="D28" s="221" t="s">
        <v>426</v>
      </c>
      <c r="E28" s="229">
        <v>159000</v>
      </c>
      <c r="F28" s="223">
        <f>IF(D28="","",기본자료!$K$67)</f>
        <v>8.8000000000000005E-3</v>
      </c>
      <c r="G28" s="224">
        <f t="shared" si="0"/>
        <v>1399.2</v>
      </c>
      <c r="H28" s="225">
        <v>13200</v>
      </c>
      <c r="I28" s="225">
        <f t="shared" si="1"/>
        <v>14599.2</v>
      </c>
      <c r="J28" s="226">
        <f t="shared" si="2"/>
        <v>144400.79999999999</v>
      </c>
      <c r="K28" s="227" t="s">
        <v>21</v>
      </c>
      <c r="L28" s="228"/>
    </row>
    <row r="29" spans="1:12" x14ac:dyDescent="0.3">
      <c r="A29" s="219"/>
      <c r="B29" s="220"/>
      <c r="C29" s="221"/>
      <c r="D29" s="221" t="s">
        <v>431</v>
      </c>
      <c r="E29" s="229">
        <v>194000</v>
      </c>
      <c r="F29" s="223">
        <f>IF(D29="","",기본자료!$K$67)</f>
        <v>8.8000000000000005E-3</v>
      </c>
      <c r="G29" s="224">
        <f t="shared" si="0"/>
        <v>1707.2</v>
      </c>
      <c r="H29" s="225">
        <v>23500</v>
      </c>
      <c r="I29" s="225">
        <f t="shared" si="1"/>
        <v>25207.200000000001</v>
      </c>
      <c r="J29" s="226">
        <f t="shared" si="2"/>
        <v>168792.8</v>
      </c>
      <c r="K29" s="227" t="s">
        <v>21</v>
      </c>
      <c r="L29" s="228"/>
    </row>
    <row r="30" spans="1:12" x14ac:dyDescent="0.3">
      <c r="A30" s="219"/>
      <c r="B30" s="220"/>
      <c r="C30" s="221"/>
      <c r="D30" s="221" t="s">
        <v>433</v>
      </c>
      <c r="E30" s="229">
        <v>225000</v>
      </c>
      <c r="F30" s="223">
        <f>IF(D30="","",기본자료!$K$67)</f>
        <v>8.8000000000000005E-3</v>
      </c>
      <c r="G30" s="224">
        <f t="shared" si="0"/>
        <v>1980.0000000000002</v>
      </c>
      <c r="H30" s="225">
        <v>23500</v>
      </c>
      <c r="I30" s="225">
        <f t="shared" si="1"/>
        <v>25480</v>
      </c>
      <c r="J30" s="226">
        <f t="shared" si="2"/>
        <v>199520</v>
      </c>
      <c r="K30" s="227" t="s">
        <v>442</v>
      </c>
      <c r="L30" s="228"/>
    </row>
    <row r="31" spans="1:12" x14ac:dyDescent="0.3">
      <c r="A31" s="219"/>
      <c r="B31" s="220"/>
      <c r="C31" s="221"/>
      <c r="D31" s="221" t="s">
        <v>434</v>
      </c>
      <c r="E31" s="229">
        <v>216000</v>
      </c>
      <c r="F31" s="223">
        <f>IF(D31="","",기본자료!$K$67)</f>
        <v>8.8000000000000005E-3</v>
      </c>
      <c r="G31" s="224">
        <f t="shared" si="0"/>
        <v>1900.8000000000002</v>
      </c>
      <c r="H31" s="225">
        <v>23500</v>
      </c>
      <c r="I31" s="225">
        <f t="shared" si="1"/>
        <v>25400.799999999999</v>
      </c>
      <c r="J31" s="226">
        <f t="shared" si="2"/>
        <v>190599.2</v>
      </c>
      <c r="K31" s="227" t="s">
        <v>21</v>
      </c>
      <c r="L31" s="228"/>
    </row>
    <row r="32" spans="1:12" x14ac:dyDescent="0.3">
      <c r="A32" s="219"/>
      <c r="B32" s="220"/>
      <c r="C32" s="221"/>
      <c r="D32" s="221" t="s">
        <v>428</v>
      </c>
      <c r="E32" s="229">
        <v>189000</v>
      </c>
      <c r="F32" s="223">
        <f>IF(D32="","",기본자료!$K$67)</f>
        <v>8.8000000000000005E-3</v>
      </c>
      <c r="G32" s="224">
        <f t="shared" si="0"/>
        <v>1663.2</v>
      </c>
      <c r="H32" s="225">
        <v>18800</v>
      </c>
      <c r="I32" s="225">
        <f t="shared" si="1"/>
        <v>20463.2</v>
      </c>
      <c r="J32" s="226">
        <f t="shared" si="2"/>
        <v>168536.8</v>
      </c>
      <c r="K32" s="227" t="s">
        <v>21</v>
      </c>
      <c r="L32" s="228"/>
    </row>
    <row r="33" spans="1:12" x14ac:dyDescent="0.3">
      <c r="A33" s="230"/>
      <c r="B33" s="231"/>
      <c r="C33" s="232"/>
      <c r="D33" s="221" t="s">
        <v>427</v>
      </c>
      <c r="E33" s="229">
        <v>195000</v>
      </c>
      <c r="F33" s="223">
        <f>IF(D33="","",기본자료!$K$67)</f>
        <v>8.8000000000000005E-3</v>
      </c>
      <c r="G33" s="224">
        <f t="shared" si="0"/>
        <v>1716</v>
      </c>
      <c r="H33" s="225">
        <v>17300</v>
      </c>
      <c r="I33" s="225">
        <f t="shared" si="1"/>
        <v>19016</v>
      </c>
      <c r="J33" s="226">
        <f t="shared" si="2"/>
        <v>175984</v>
      </c>
      <c r="K33" s="227" t="s">
        <v>21</v>
      </c>
      <c r="L33" s="228"/>
    </row>
    <row r="34" spans="1:12" x14ac:dyDescent="0.3">
      <c r="A34" s="230" t="s">
        <v>413</v>
      </c>
      <c r="B34" s="231"/>
      <c r="C34" s="232" t="s">
        <v>437</v>
      </c>
      <c r="D34" s="221" t="s">
        <v>432</v>
      </c>
      <c r="E34" s="229">
        <v>183000</v>
      </c>
      <c r="F34" s="223">
        <f>IF(D34="","",기본자료!$K$67)</f>
        <v>8.8000000000000005E-3</v>
      </c>
      <c r="G34" s="224">
        <f t="shared" si="0"/>
        <v>1610.4</v>
      </c>
      <c r="H34" s="225">
        <v>23500</v>
      </c>
      <c r="I34" s="225">
        <f t="shared" si="1"/>
        <v>25110.400000000001</v>
      </c>
      <c r="J34" s="226">
        <f t="shared" si="2"/>
        <v>157889.60000000001</v>
      </c>
      <c r="K34" s="227" t="s">
        <v>21</v>
      </c>
      <c r="L34" s="228"/>
    </row>
    <row r="35" spans="1:12" x14ac:dyDescent="0.3">
      <c r="A35" s="219"/>
      <c r="B35" s="220"/>
      <c r="C35" s="221"/>
      <c r="D35" s="221" t="s">
        <v>430</v>
      </c>
      <c r="E35" s="229">
        <v>162000</v>
      </c>
      <c r="F35" s="223">
        <f>IF(D35="","",기본자료!$K$67)</f>
        <v>8.8000000000000005E-3</v>
      </c>
      <c r="G35" s="224">
        <f t="shared" si="0"/>
        <v>1425.6000000000001</v>
      </c>
      <c r="H35" s="225">
        <v>18800</v>
      </c>
      <c r="I35" s="225">
        <f t="shared" si="1"/>
        <v>20225.599999999999</v>
      </c>
      <c r="J35" s="226">
        <f t="shared" si="2"/>
        <v>141774.39999999999</v>
      </c>
      <c r="K35" s="227" t="s">
        <v>21</v>
      </c>
      <c r="L35" s="228"/>
    </row>
    <row r="36" spans="1:12" x14ac:dyDescent="0.3">
      <c r="A36" s="219"/>
      <c r="B36" s="220"/>
      <c r="C36" s="221"/>
      <c r="D36" s="221" t="s">
        <v>424</v>
      </c>
      <c r="E36" s="229">
        <v>163000</v>
      </c>
      <c r="F36" s="223">
        <f>IF(D36="","",기본자료!$K$67)</f>
        <v>8.8000000000000005E-3</v>
      </c>
      <c r="G36" s="224">
        <f t="shared" si="0"/>
        <v>1434.4</v>
      </c>
      <c r="H36" s="225">
        <v>11100</v>
      </c>
      <c r="I36" s="225">
        <f t="shared" si="1"/>
        <v>12534.4</v>
      </c>
      <c r="J36" s="226">
        <f t="shared" si="2"/>
        <v>150465.60000000001</v>
      </c>
      <c r="K36" s="227" t="s">
        <v>21</v>
      </c>
      <c r="L36" s="228"/>
    </row>
    <row r="37" spans="1:12" x14ac:dyDescent="0.3">
      <c r="A37" s="219"/>
      <c r="B37" s="220"/>
      <c r="C37" s="221"/>
      <c r="D37" s="221" t="s">
        <v>423</v>
      </c>
      <c r="E37" s="229">
        <v>162000</v>
      </c>
      <c r="F37" s="223">
        <f>IF(D37="","",기본자료!$K$67)</f>
        <v>8.8000000000000005E-3</v>
      </c>
      <c r="G37" s="224">
        <f t="shared" si="0"/>
        <v>1425.6000000000001</v>
      </c>
      <c r="H37" s="225">
        <v>11100</v>
      </c>
      <c r="I37" s="225">
        <f t="shared" si="1"/>
        <v>12525.6</v>
      </c>
      <c r="J37" s="226">
        <f t="shared" si="2"/>
        <v>149474.4</v>
      </c>
      <c r="K37" s="227" t="s">
        <v>21</v>
      </c>
      <c r="L37" s="228"/>
    </row>
    <row r="38" spans="1:12" x14ac:dyDescent="0.3">
      <c r="A38" s="219"/>
      <c r="B38" s="220"/>
      <c r="C38" s="221"/>
      <c r="D38" s="221" t="s">
        <v>425</v>
      </c>
      <c r="E38" s="229">
        <v>135000</v>
      </c>
      <c r="F38" s="223">
        <f>IF(D38="","",기본자료!$K$67)</f>
        <v>8.8000000000000005E-3</v>
      </c>
      <c r="G38" s="224">
        <f t="shared" si="0"/>
        <v>1188</v>
      </c>
      <c r="H38" s="225">
        <v>11100</v>
      </c>
      <c r="I38" s="225">
        <f t="shared" si="1"/>
        <v>12288</v>
      </c>
      <c r="J38" s="226">
        <f t="shared" si="2"/>
        <v>122712</v>
      </c>
      <c r="K38" s="227" t="s">
        <v>21</v>
      </c>
      <c r="L38" s="228"/>
    </row>
    <row r="39" spans="1:12" x14ac:dyDescent="0.3">
      <c r="A39" s="219"/>
      <c r="B39" s="220"/>
      <c r="C39" s="221"/>
      <c r="D39" s="221" t="s">
        <v>426</v>
      </c>
      <c r="E39" s="229">
        <v>153000</v>
      </c>
      <c r="F39" s="223">
        <f>IF(D39="","",기본자료!$K$67)</f>
        <v>8.8000000000000005E-3</v>
      </c>
      <c r="G39" s="224">
        <f t="shared" si="0"/>
        <v>1346.4</v>
      </c>
      <c r="H39" s="225">
        <v>13200</v>
      </c>
      <c r="I39" s="225">
        <f t="shared" si="1"/>
        <v>14546.4</v>
      </c>
      <c r="J39" s="226">
        <f t="shared" si="2"/>
        <v>138453.6</v>
      </c>
      <c r="K39" s="227" t="s">
        <v>21</v>
      </c>
      <c r="L39" s="228"/>
    </row>
    <row r="40" spans="1:12" x14ac:dyDescent="0.3">
      <c r="A40" s="219"/>
      <c r="B40" s="220"/>
      <c r="C40" s="221"/>
      <c r="D40" s="221" t="s">
        <v>431</v>
      </c>
      <c r="E40" s="229">
        <v>188000</v>
      </c>
      <c r="F40" s="223">
        <f>IF(D40="","",기본자료!$K$67)</f>
        <v>8.8000000000000005E-3</v>
      </c>
      <c r="G40" s="224">
        <f t="shared" si="0"/>
        <v>1654.4</v>
      </c>
      <c r="H40" s="225">
        <v>23500</v>
      </c>
      <c r="I40" s="225">
        <f t="shared" si="1"/>
        <v>25154.400000000001</v>
      </c>
      <c r="J40" s="226">
        <f t="shared" si="2"/>
        <v>162845.6</v>
      </c>
      <c r="K40" s="227" t="s">
        <v>21</v>
      </c>
      <c r="L40" s="228"/>
    </row>
    <row r="41" spans="1:12" x14ac:dyDescent="0.3">
      <c r="A41" s="219"/>
      <c r="B41" s="220"/>
      <c r="C41" s="221"/>
      <c r="D41" s="221" t="s">
        <v>433</v>
      </c>
      <c r="E41" s="229">
        <v>177000</v>
      </c>
      <c r="F41" s="223">
        <f>IF(D41="","",기본자료!$K$67)</f>
        <v>8.8000000000000005E-3</v>
      </c>
      <c r="G41" s="224">
        <f t="shared" si="0"/>
        <v>1557.6000000000001</v>
      </c>
      <c r="H41" s="225">
        <v>23500</v>
      </c>
      <c r="I41" s="225">
        <f t="shared" si="1"/>
        <v>25057.599999999999</v>
      </c>
      <c r="J41" s="226">
        <f t="shared" si="2"/>
        <v>151942.39999999999</v>
      </c>
      <c r="K41" s="227" t="s">
        <v>21</v>
      </c>
      <c r="L41" s="228"/>
    </row>
    <row r="42" spans="1:12" x14ac:dyDescent="0.3">
      <c r="A42" s="219"/>
      <c r="B42" s="220"/>
      <c r="C42" s="221"/>
      <c r="D42" s="221" t="s">
        <v>434</v>
      </c>
      <c r="E42" s="229">
        <v>186000</v>
      </c>
      <c r="F42" s="223">
        <f>IF(D42="","",기본자료!$K$67)</f>
        <v>8.8000000000000005E-3</v>
      </c>
      <c r="G42" s="224">
        <f t="shared" si="0"/>
        <v>1636.8000000000002</v>
      </c>
      <c r="H42" s="225">
        <v>23500</v>
      </c>
      <c r="I42" s="225">
        <f t="shared" si="1"/>
        <v>25136.799999999999</v>
      </c>
      <c r="J42" s="226">
        <f t="shared" si="2"/>
        <v>160863.20000000001</v>
      </c>
      <c r="K42" s="227" t="s">
        <v>21</v>
      </c>
      <c r="L42" s="228"/>
    </row>
    <row r="43" spans="1:12" x14ac:dyDescent="0.3">
      <c r="A43" s="219"/>
      <c r="B43" s="220"/>
      <c r="C43" s="221"/>
      <c r="D43" s="221" t="s">
        <v>428</v>
      </c>
      <c r="E43" s="229">
        <v>180000</v>
      </c>
      <c r="F43" s="223">
        <f>IF(D43="","",기본자료!$K$67)</f>
        <v>8.8000000000000005E-3</v>
      </c>
      <c r="G43" s="224">
        <f t="shared" si="0"/>
        <v>1584</v>
      </c>
      <c r="H43" s="225">
        <v>18800</v>
      </c>
      <c r="I43" s="225">
        <f t="shared" si="1"/>
        <v>20384</v>
      </c>
      <c r="J43" s="226">
        <f t="shared" si="2"/>
        <v>159616</v>
      </c>
      <c r="K43" s="227" t="s">
        <v>21</v>
      </c>
      <c r="L43" s="228"/>
    </row>
    <row r="44" spans="1:12" x14ac:dyDescent="0.3">
      <c r="A44" s="219"/>
      <c r="B44" s="220"/>
      <c r="C44" s="221"/>
      <c r="D44" s="221" t="s">
        <v>427</v>
      </c>
      <c r="E44" s="229">
        <v>183000</v>
      </c>
      <c r="F44" s="223">
        <f>IF(D44="","",기본자료!$K$67)</f>
        <v>8.8000000000000005E-3</v>
      </c>
      <c r="G44" s="224">
        <f t="shared" si="0"/>
        <v>1610.4</v>
      </c>
      <c r="H44" s="225">
        <v>17300</v>
      </c>
      <c r="I44" s="225">
        <f t="shared" si="1"/>
        <v>18910.400000000001</v>
      </c>
      <c r="J44" s="226">
        <f t="shared" si="2"/>
        <v>164089.60000000001</v>
      </c>
      <c r="K44" s="227" t="s">
        <v>442</v>
      </c>
      <c r="L44" s="228"/>
    </row>
    <row r="45" spans="1:12" x14ac:dyDescent="0.3">
      <c r="A45" s="219" t="s">
        <v>413</v>
      </c>
      <c r="B45" s="220"/>
      <c r="C45" s="221" t="s">
        <v>438</v>
      </c>
      <c r="D45" s="221" t="s">
        <v>432</v>
      </c>
      <c r="E45" s="229">
        <v>54000</v>
      </c>
      <c r="F45" s="223">
        <f>IF(D45="","",기본자료!$K$67)</f>
        <v>8.8000000000000005E-3</v>
      </c>
      <c r="G45" s="224">
        <f t="shared" si="0"/>
        <v>475.20000000000005</v>
      </c>
      <c r="H45" s="225">
        <v>23500</v>
      </c>
      <c r="I45" s="225">
        <f t="shared" si="1"/>
        <v>23975.200000000001</v>
      </c>
      <c r="J45" s="226">
        <f t="shared" si="2"/>
        <v>30024.799999999999</v>
      </c>
      <c r="K45" s="227" t="s">
        <v>21</v>
      </c>
      <c r="L45" s="228"/>
    </row>
    <row r="46" spans="1:12" x14ac:dyDescent="0.3">
      <c r="A46" s="219"/>
      <c r="B46" s="220"/>
      <c r="C46" s="221"/>
      <c r="D46" s="221" t="s">
        <v>429</v>
      </c>
      <c r="E46" s="229">
        <v>53800</v>
      </c>
      <c r="F46" s="223">
        <f>IF(D46="","",기본자료!$K$67)</f>
        <v>8.8000000000000005E-3</v>
      </c>
      <c r="G46" s="224">
        <f t="shared" si="0"/>
        <v>473.44000000000005</v>
      </c>
      <c r="H46" s="225">
        <v>18800</v>
      </c>
      <c r="I46" s="225">
        <f t="shared" si="1"/>
        <v>19273.439999999999</v>
      </c>
      <c r="J46" s="226">
        <f t="shared" si="2"/>
        <v>34526.559999999998</v>
      </c>
      <c r="K46" s="227" t="s">
        <v>21</v>
      </c>
      <c r="L46" s="228"/>
    </row>
    <row r="47" spans="1:12" x14ac:dyDescent="0.3">
      <c r="A47" s="219"/>
      <c r="B47" s="220"/>
      <c r="C47" s="221"/>
      <c r="D47" s="221" t="s">
        <v>424</v>
      </c>
      <c r="E47" s="229">
        <v>54000</v>
      </c>
      <c r="F47" s="223">
        <f>IF(D47="","",기본자료!$K$67)</f>
        <v>8.8000000000000005E-3</v>
      </c>
      <c r="G47" s="224">
        <f t="shared" si="0"/>
        <v>475.20000000000005</v>
      </c>
      <c r="H47" s="225">
        <v>11100</v>
      </c>
      <c r="I47" s="225">
        <f t="shared" si="1"/>
        <v>11575.2</v>
      </c>
      <c r="J47" s="226">
        <f t="shared" si="2"/>
        <v>42424.800000000003</v>
      </c>
      <c r="K47" s="227" t="s">
        <v>442</v>
      </c>
      <c r="L47" s="228"/>
    </row>
    <row r="48" spans="1:12" x14ac:dyDescent="0.3">
      <c r="A48" s="219"/>
      <c r="B48" s="220"/>
      <c r="C48" s="221"/>
      <c r="D48" s="221" t="s">
        <v>431</v>
      </c>
      <c r="E48" s="229">
        <v>54000</v>
      </c>
      <c r="F48" s="223">
        <f>IF(D48="","",기본자료!$K$67)</f>
        <v>8.8000000000000005E-3</v>
      </c>
      <c r="G48" s="224">
        <f t="shared" si="0"/>
        <v>475.20000000000005</v>
      </c>
      <c r="H48" s="225">
        <v>23500</v>
      </c>
      <c r="I48" s="225">
        <f t="shared" si="1"/>
        <v>23975.200000000001</v>
      </c>
      <c r="J48" s="226">
        <f t="shared" si="2"/>
        <v>30024.799999999999</v>
      </c>
      <c r="K48" s="227" t="s">
        <v>21</v>
      </c>
      <c r="L48" s="228"/>
    </row>
    <row r="49" spans="1:12" x14ac:dyDescent="0.3">
      <c r="A49" s="219"/>
      <c r="B49" s="220"/>
      <c r="C49" s="221"/>
      <c r="D49" s="221" t="s">
        <v>433</v>
      </c>
      <c r="E49" s="229">
        <v>54200</v>
      </c>
      <c r="F49" s="223">
        <f>IF(D49="","",기본자료!$K$67)</f>
        <v>8.8000000000000005E-3</v>
      </c>
      <c r="G49" s="224">
        <f t="shared" si="0"/>
        <v>476.96000000000004</v>
      </c>
      <c r="H49" s="225">
        <v>23500</v>
      </c>
      <c r="I49" s="225">
        <f t="shared" si="1"/>
        <v>23976.959999999999</v>
      </c>
      <c r="J49" s="226">
        <f t="shared" si="2"/>
        <v>30223.040000000001</v>
      </c>
      <c r="K49" s="227" t="s">
        <v>21</v>
      </c>
      <c r="L49" s="228"/>
    </row>
    <row r="50" spans="1:12" x14ac:dyDescent="0.3">
      <c r="A50" s="219" t="s">
        <v>418</v>
      </c>
      <c r="B50" s="220"/>
      <c r="C50" s="221" t="s">
        <v>436</v>
      </c>
      <c r="D50" s="221" t="s">
        <v>430</v>
      </c>
      <c r="E50" s="229">
        <v>150000</v>
      </c>
      <c r="F50" s="223">
        <f>IF(D50="","",기본자료!$K$67)</f>
        <v>8.8000000000000005E-3</v>
      </c>
      <c r="G50" s="224">
        <f t="shared" si="0"/>
        <v>1320</v>
      </c>
      <c r="H50" s="225">
        <v>18800</v>
      </c>
      <c r="I50" s="225">
        <f t="shared" si="1"/>
        <v>20120</v>
      </c>
      <c r="J50" s="226">
        <f t="shared" si="2"/>
        <v>129880</v>
      </c>
      <c r="K50" s="227" t="s">
        <v>21</v>
      </c>
      <c r="L50" s="228"/>
    </row>
    <row r="51" spans="1:12" x14ac:dyDescent="0.3">
      <c r="A51" s="230"/>
      <c r="B51" s="231"/>
      <c r="C51" s="232"/>
      <c r="D51" s="221" t="s">
        <v>429</v>
      </c>
      <c r="E51" s="233">
        <v>146000</v>
      </c>
      <c r="F51" s="223">
        <f>IF(D51="","",기본자료!$K$67)</f>
        <v>8.8000000000000005E-3</v>
      </c>
      <c r="G51" s="234">
        <f t="shared" si="0"/>
        <v>1284.8000000000002</v>
      </c>
      <c r="H51" s="225">
        <v>18800</v>
      </c>
      <c r="I51" s="233">
        <f t="shared" si="1"/>
        <v>20084.8</v>
      </c>
      <c r="J51" s="235">
        <f t="shared" si="2"/>
        <v>125915.2</v>
      </c>
      <c r="K51" s="236" t="s">
        <v>21</v>
      </c>
      <c r="L51" s="228"/>
    </row>
    <row r="52" spans="1:12" x14ac:dyDescent="0.3">
      <c r="A52" s="230"/>
      <c r="B52" s="231"/>
      <c r="C52" s="232"/>
      <c r="D52" s="221" t="s">
        <v>423</v>
      </c>
      <c r="E52" s="233">
        <v>145000</v>
      </c>
      <c r="F52" s="223">
        <f>IF(D52="","",기본자료!$K$67)</f>
        <v>8.8000000000000005E-3</v>
      </c>
      <c r="G52" s="234">
        <f t="shared" si="0"/>
        <v>1276</v>
      </c>
      <c r="H52" s="225">
        <v>11100</v>
      </c>
      <c r="I52" s="233">
        <f t="shared" si="1"/>
        <v>12376</v>
      </c>
      <c r="J52" s="235">
        <f t="shared" si="2"/>
        <v>132624</v>
      </c>
      <c r="K52" s="236" t="s">
        <v>21</v>
      </c>
      <c r="L52" s="228"/>
    </row>
    <row r="53" spans="1:12" x14ac:dyDescent="0.3">
      <c r="A53" s="230"/>
      <c r="B53" s="231"/>
      <c r="C53" s="232"/>
      <c r="D53" s="231" t="s">
        <v>425</v>
      </c>
      <c r="E53" s="233">
        <v>165700</v>
      </c>
      <c r="F53" s="223">
        <f>IF(D53="","",기본자료!$K$67)</f>
        <v>8.8000000000000005E-3</v>
      </c>
      <c r="G53" s="234">
        <f t="shared" si="0"/>
        <v>1458.16</v>
      </c>
      <c r="H53" s="225">
        <v>11100</v>
      </c>
      <c r="I53" s="233">
        <f t="shared" si="1"/>
        <v>12558.16</v>
      </c>
      <c r="J53" s="235">
        <f t="shared" si="2"/>
        <v>153141.84</v>
      </c>
      <c r="K53" s="236" t="s">
        <v>442</v>
      </c>
      <c r="L53" s="228"/>
    </row>
    <row r="54" spans="1:12" x14ac:dyDescent="0.3">
      <c r="A54" s="219"/>
      <c r="B54" s="220"/>
      <c r="C54" s="221"/>
      <c r="D54" s="220" t="s">
        <v>426</v>
      </c>
      <c r="E54" s="229">
        <v>147800</v>
      </c>
      <c r="F54" s="223">
        <f>IF(D54="","",기본자료!$K$67)</f>
        <v>8.8000000000000005E-3</v>
      </c>
      <c r="G54" s="224">
        <f t="shared" si="0"/>
        <v>1300.6400000000001</v>
      </c>
      <c r="H54" s="225">
        <v>13200</v>
      </c>
      <c r="I54" s="225">
        <f t="shared" si="1"/>
        <v>14500.64</v>
      </c>
      <c r="J54" s="226">
        <f t="shared" si="2"/>
        <v>133299.35999999999</v>
      </c>
      <c r="K54" s="227" t="s">
        <v>21</v>
      </c>
      <c r="L54" s="228"/>
    </row>
    <row r="55" spans="1:12" x14ac:dyDescent="0.3">
      <c r="A55" s="219"/>
      <c r="B55" s="220"/>
      <c r="C55" s="221"/>
      <c r="D55" s="220" t="s">
        <v>431</v>
      </c>
      <c r="E55" s="229">
        <v>143500</v>
      </c>
      <c r="F55" s="223">
        <f>IF(D55="","",기본자료!$K$67)</f>
        <v>8.8000000000000005E-3</v>
      </c>
      <c r="G55" s="224">
        <f t="shared" si="0"/>
        <v>1262.8000000000002</v>
      </c>
      <c r="H55" s="225">
        <v>23500</v>
      </c>
      <c r="I55" s="225">
        <f t="shared" si="1"/>
        <v>24762.799999999999</v>
      </c>
      <c r="J55" s="226">
        <f t="shared" si="2"/>
        <v>118737.2</v>
      </c>
      <c r="K55" s="227" t="s">
        <v>21</v>
      </c>
      <c r="L55" s="228"/>
    </row>
    <row r="56" spans="1:12" x14ac:dyDescent="0.3">
      <c r="A56" s="219"/>
      <c r="B56" s="220"/>
      <c r="C56" s="221"/>
      <c r="D56" s="220" t="s">
        <v>433</v>
      </c>
      <c r="E56" s="229">
        <v>150000</v>
      </c>
      <c r="F56" s="223">
        <f>IF(D56="","",기본자료!$K$67)</f>
        <v>8.8000000000000005E-3</v>
      </c>
      <c r="G56" s="224">
        <f t="shared" si="0"/>
        <v>1320</v>
      </c>
      <c r="H56" s="225">
        <v>23500</v>
      </c>
      <c r="I56" s="225">
        <f t="shared" si="1"/>
        <v>24820</v>
      </c>
      <c r="J56" s="226">
        <f t="shared" si="2"/>
        <v>125180</v>
      </c>
      <c r="K56" s="227" t="s">
        <v>21</v>
      </c>
      <c r="L56" s="228"/>
    </row>
    <row r="57" spans="1:12" x14ac:dyDescent="0.3">
      <c r="A57" s="219"/>
      <c r="B57" s="220"/>
      <c r="C57" s="221"/>
      <c r="D57" s="220" t="s">
        <v>434</v>
      </c>
      <c r="E57" s="229">
        <v>147000</v>
      </c>
      <c r="F57" s="223">
        <f>IF(D57="","",기본자료!$K$67)</f>
        <v>8.8000000000000005E-3</v>
      </c>
      <c r="G57" s="224">
        <f t="shared" si="0"/>
        <v>1293.6000000000001</v>
      </c>
      <c r="H57" s="225">
        <v>23500</v>
      </c>
      <c r="I57" s="225">
        <f t="shared" si="1"/>
        <v>24793.599999999999</v>
      </c>
      <c r="J57" s="226">
        <f t="shared" si="2"/>
        <v>122206.39999999999</v>
      </c>
      <c r="K57" s="227" t="s">
        <v>21</v>
      </c>
      <c r="L57" s="228"/>
    </row>
    <row r="58" spans="1:12" x14ac:dyDescent="0.3">
      <c r="A58" s="219" t="s">
        <v>418</v>
      </c>
      <c r="B58" s="220"/>
      <c r="C58" s="221" t="s">
        <v>437</v>
      </c>
      <c r="D58" s="220" t="s">
        <v>430</v>
      </c>
      <c r="E58" s="229">
        <v>150000</v>
      </c>
      <c r="F58" s="223">
        <f>IF(D58="","",기본자료!$K$67)</f>
        <v>8.8000000000000005E-3</v>
      </c>
      <c r="G58" s="224">
        <f t="shared" si="0"/>
        <v>1320</v>
      </c>
      <c r="H58" s="225">
        <v>18800</v>
      </c>
      <c r="I58" s="225">
        <f t="shared" si="1"/>
        <v>20120</v>
      </c>
      <c r="J58" s="226">
        <f t="shared" si="2"/>
        <v>129880</v>
      </c>
      <c r="K58" s="227" t="s">
        <v>21</v>
      </c>
      <c r="L58" s="228"/>
    </row>
    <row r="59" spans="1:12" x14ac:dyDescent="0.3">
      <c r="A59" s="219"/>
      <c r="B59" s="220"/>
      <c r="C59" s="221"/>
      <c r="D59" s="220" t="s">
        <v>429</v>
      </c>
      <c r="E59" s="229">
        <v>143000</v>
      </c>
      <c r="F59" s="223">
        <f>IF(D59="","",기본자료!$K$67)</f>
        <v>8.8000000000000005E-3</v>
      </c>
      <c r="G59" s="224">
        <f t="shared" si="0"/>
        <v>1258.4000000000001</v>
      </c>
      <c r="H59" s="225">
        <v>18800</v>
      </c>
      <c r="I59" s="225">
        <f t="shared" si="1"/>
        <v>20058.400000000001</v>
      </c>
      <c r="J59" s="226">
        <f t="shared" si="2"/>
        <v>122941.6</v>
      </c>
      <c r="K59" s="227" t="s">
        <v>21</v>
      </c>
      <c r="L59" s="228"/>
    </row>
    <row r="60" spans="1:12" x14ac:dyDescent="0.3">
      <c r="A60" s="219"/>
      <c r="B60" s="220"/>
      <c r="C60" s="221"/>
      <c r="D60" s="220" t="s">
        <v>423</v>
      </c>
      <c r="E60" s="229">
        <v>141000</v>
      </c>
      <c r="F60" s="223">
        <f>IF(D60="","",기본자료!$K$67)</f>
        <v>8.8000000000000005E-3</v>
      </c>
      <c r="G60" s="224">
        <f t="shared" si="0"/>
        <v>1240.8000000000002</v>
      </c>
      <c r="H60" s="225">
        <v>11100</v>
      </c>
      <c r="I60" s="225">
        <f t="shared" si="1"/>
        <v>12340.8</v>
      </c>
      <c r="J60" s="226">
        <f t="shared" si="2"/>
        <v>128659.2</v>
      </c>
      <c r="K60" s="227" t="s">
        <v>21</v>
      </c>
      <c r="L60" s="228"/>
    </row>
    <row r="61" spans="1:12" x14ac:dyDescent="0.3">
      <c r="A61" s="219"/>
      <c r="B61" s="220"/>
      <c r="C61" s="221"/>
      <c r="D61" s="220" t="s">
        <v>425</v>
      </c>
      <c r="E61" s="229">
        <v>159700</v>
      </c>
      <c r="F61" s="223">
        <f>IF(D61="","",기본자료!$K$67)</f>
        <v>8.8000000000000005E-3</v>
      </c>
      <c r="G61" s="224">
        <f t="shared" si="0"/>
        <v>1405.3600000000001</v>
      </c>
      <c r="H61" s="225">
        <v>11100</v>
      </c>
      <c r="I61" s="225">
        <f t="shared" si="1"/>
        <v>12505.36</v>
      </c>
      <c r="J61" s="226">
        <f t="shared" si="2"/>
        <v>147194.64000000001</v>
      </c>
      <c r="K61" s="227" t="s">
        <v>442</v>
      </c>
      <c r="L61" s="228"/>
    </row>
    <row r="62" spans="1:12" x14ac:dyDescent="0.3">
      <c r="A62" s="219"/>
      <c r="B62" s="220"/>
      <c r="C62" s="221"/>
      <c r="D62" s="220" t="s">
        <v>426</v>
      </c>
      <c r="E62" s="229">
        <v>142400</v>
      </c>
      <c r="F62" s="223">
        <f>IF(D62="","",기본자료!$K$67)</f>
        <v>8.8000000000000005E-3</v>
      </c>
      <c r="G62" s="224">
        <f t="shared" si="0"/>
        <v>1253.1200000000001</v>
      </c>
      <c r="H62" s="225">
        <v>13200</v>
      </c>
      <c r="I62" s="225">
        <f t="shared" si="1"/>
        <v>14453.12</v>
      </c>
      <c r="J62" s="226">
        <f t="shared" si="2"/>
        <v>127946.88</v>
      </c>
      <c r="K62" s="227" t="s">
        <v>21</v>
      </c>
      <c r="L62" s="228"/>
    </row>
    <row r="63" spans="1:12" x14ac:dyDescent="0.3">
      <c r="A63" s="219"/>
      <c r="B63" s="220"/>
      <c r="C63" s="221"/>
      <c r="D63" s="220" t="s">
        <v>431</v>
      </c>
      <c r="E63" s="229">
        <v>136900</v>
      </c>
      <c r="F63" s="223">
        <f>IF(D63="","",기본자료!$K$67)</f>
        <v>8.8000000000000005E-3</v>
      </c>
      <c r="G63" s="224">
        <f t="shared" si="0"/>
        <v>1204.72</v>
      </c>
      <c r="H63" s="225">
        <v>23500</v>
      </c>
      <c r="I63" s="225">
        <f t="shared" si="1"/>
        <v>24704.720000000001</v>
      </c>
      <c r="J63" s="226">
        <f t="shared" si="2"/>
        <v>112195.28</v>
      </c>
      <c r="K63" s="227" t="s">
        <v>21</v>
      </c>
      <c r="L63" s="228"/>
    </row>
    <row r="64" spans="1:12" x14ac:dyDescent="0.3">
      <c r="A64" s="219"/>
      <c r="B64" s="220"/>
      <c r="C64" s="221"/>
      <c r="D64" s="220" t="s">
        <v>433</v>
      </c>
      <c r="E64" s="229">
        <v>141000</v>
      </c>
      <c r="F64" s="223">
        <f>IF(D64="","",기본자료!$K$67)</f>
        <v>8.8000000000000005E-3</v>
      </c>
      <c r="G64" s="224">
        <f t="shared" si="0"/>
        <v>1240.8000000000002</v>
      </c>
      <c r="H64" s="225">
        <v>23500</v>
      </c>
      <c r="I64" s="225">
        <f t="shared" si="1"/>
        <v>24740.799999999999</v>
      </c>
      <c r="J64" s="226">
        <f t="shared" si="2"/>
        <v>116259.2</v>
      </c>
      <c r="K64" s="227" t="s">
        <v>21</v>
      </c>
      <c r="L64" s="228"/>
    </row>
    <row r="65" spans="1:12" x14ac:dyDescent="0.3">
      <c r="A65" s="219"/>
      <c r="B65" s="220"/>
      <c r="C65" s="221"/>
      <c r="D65" s="220" t="s">
        <v>434</v>
      </c>
      <c r="E65" s="229">
        <v>141000</v>
      </c>
      <c r="F65" s="223">
        <f>IF(D65="","",기본자료!$K$67)</f>
        <v>8.8000000000000005E-3</v>
      </c>
      <c r="G65" s="224">
        <f t="shared" si="0"/>
        <v>1240.8000000000002</v>
      </c>
      <c r="H65" s="225">
        <v>23500</v>
      </c>
      <c r="I65" s="225">
        <f t="shared" si="1"/>
        <v>24740.799999999999</v>
      </c>
      <c r="J65" s="226">
        <f t="shared" si="2"/>
        <v>116259.2</v>
      </c>
      <c r="K65" s="227" t="s">
        <v>21</v>
      </c>
      <c r="L65" s="228"/>
    </row>
    <row r="66" spans="1:12" x14ac:dyDescent="0.3">
      <c r="A66" s="219" t="s">
        <v>418</v>
      </c>
      <c r="B66" s="220"/>
      <c r="C66" s="221" t="s">
        <v>438</v>
      </c>
      <c r="D66" s="220" t="s">
        <v>429</v>
      </c>
      <c r="E66" s="229">
        <v>54800</v>
      </c>
      <c r="F66" s="223">
        <f>IF(D66="","",기본자료!$K$67)</f>
        <v>8.8000000000000005E-3</v>
      </c>
      <c r="G66" s="224">
        <f t="shared" si="0"/>
        <v>482.24</v>
      </c>
      <c r="H66" s="225">
        <v>18800</v>
      </c>
      <c r="I66" s="225">
        <f t="shared" si="1"/>
        <v>19282.240000000002</v>
      </c>
      <c r="J66" s="226">
        <f t="shared" si="2"/>
        <v>35517.759999999995</v>
      </c>
      <c r="K66" s="227" t="s">
        <v>21</v>
      </c>
      <c r="L66" s="228"/>
    </row>
    <row r="67" spans="1:12" x14ac:dyDescent="0.3">
      <c r="A67" s="219"/>
      <c r="B67" s="220"/>
      <c r="C67" s="221"/>
      <c r="D67" s="220" t="s">
        <v>424</v>
      </c>
      <c r="E67" s="229">
        <v>54500</v>
      </c>
      <c r="F67" s="223">
        <f>IF(D67="","",기본자료!$K$67)</f>
        <v>8.8000000000000005E-3</v>
      </c>
      <c r="G67" s="224">
        <f t="shared" si="0"/>
        <v>479.6</v>
      </c>
      <c r="H67" s="225">
        <v>11100</v>
      </c>
      <c r="I67" s="225">
        <f t="shared" si="1"/>
        <v>11579.6</v>
      </c>
      <c r="J67" s="226">
        <f t="shared" si="2"/>
        <v>42920.4</v>
      </c>
      <c r="K67" s="227" t="s">
        <v>442</v>
      </c>
      <c r="L67" s="228"/>
    </row>
    <row r="68" spans="1:12" x14ac:dyDescent="0.3">
      <c r="A68" s="219"/>
      <c r="B68" s="220"/>
      <c r="C68" s="221"/>
      <c r="D68" s="220" t="s">
        <v>433</v>
      </c>
      <c r="E68" s="229">
        <v>54000</v>
      </c>
      <c r="F68" s="223">
        <f>IF(D68="","",기본자료!$K$67)</f>
        <v>8.8000000000000005E-3</v>
      </c>
      <c r="G68" s="224">
        <f t="shared" si="0"/>
        <v>475.20000000000005</v>
      </c>
      <c r="H68" s="225">
        <v>23500</v>
      </c>
      <c r="I68" s="225">
        <f t="shared" si="1"/>
        <v>23975.200000000001</v>
      </c>
      <c r="J68" s="226">
        <f t="shared" si="2"/>
        <v>30024.799999999999</v>
      </c>
      <c r="K68" s="227" t="s">
        <v>21</v>
      </c>
      <c r="L68" s="228"/>
    </row>
    <row r="69" spans="1:12" x14ac:dyDescent="0.3">
      <c r="A69" s="219" t="s">
        <v>447</v>
      </c>
      <c r="B69" s="220"/>
      <c r="C69" s="221" t="s">
        <v>438</v>
      </c>
      <c r="D69" s="220" t="s">
        <v>432</v>
      </c>
      <c r="E69" s="229">
        <v>65000</v>
      </c>
      <c r="F69" s="223">
        <f>IF(D69="","",기본자료!$K$67)</f>
        <v>8.8000000000000005E-3</v>
      </c>
      <c r="G69" s="224">
        <f t="shared" si="0"/>
        <v>572</v>
      </c>
      <c r="H69" s="225">
        <v>26200</v>
      </c>
      <c r="I69" s="225">
        <f t="shared" si="1"/>
        <v>26772</v>
      </c>
      <c r="J69" s="226">
        <f t="shared" si="2"/>
        <v>38228</v>
      </c>
      <c r="K69" s="227" t="s">
        <v>21</v>
      </c>
      <c r="L69" s="228"/>
    </row>
    <row r="70" spans="1:12" x14ac:dyDescent="0.3">
      <c r="A70" s="219"/>
      <c r="B70" s="220"/>
      <c r="C70" s="221"/>
      <c r="D70" s="220" t="s">
        <v>429</v>
      </c>
      <c r="E70" s="229">
        <v>62000</v>
      </c>
      <c r="F70" s="223">
        <f>IF(D70="","",기본자료!$K$67)</f>
        <v>8.8000000000000005E-3</v>
      </c>
      <c r="G70" s="224">
        <f t="shared" si="0"/>
        <v>545.6</v>
      </c>
      <c r="H70" s="225">
        <v>20900</v>
      </c>
      <c r="I70" s="225">
        <f t="shared" si="1"/>
        <v>21445.599999999999</v>
      </c>
      <c r="J70" s="226">
        <f t="shared" si="2"/>
        <v>40554.400000000001</v>
      </c>
      <c r="K70" s="227" t="s">
        <v>21</v>
      </c>
      <c r="L70" s="228"/>
    </row>
    <row r="71" spans="1:12" x14ac:dyDescent="0.3">
      <c r="A71" s="219"/>
      <c r="B71" s="220"/>
      <c r="C71" s="221"/>
      <c r="D71" s="220" t="s">
        <v>424</v>
      </c>
      <c r="E71" s="229">
        <v>61000</v>
      </c>
      <c r="F71" s="223">
        <f>IF(D71="","",기본자료!$K$67)</f>
        <v>8.8000000000000005E-3</v>
      </c>
      <c r="G71" s="224">
        <f t="shared" si="0"/>
        <v>536.80000000000007</v>
      </c>
      <c r="H71" s="225">
        <v>13700</v>
      </c>
      <c r="I71" s="225">
        <f t="shared" si="1"/>
        <v>14236.8</v>
      </c>
      <c r="J71" s="226">
        <f t="shared" si="2"/>
        <v>46763.199999999997</v>
      </c>
      <c r="K71" s="227" t="s">
        <v>442</v>
      </c>
      <c r="L71" s="228"/>
    </row>
    <row r="72" spans="1:12" x14ac:dyDescent="0.3">
      <c r="A72" s="219"/>
      <c r="B72" s="220"/>
      <c r="C72" s="221"/>
      <c r="D72" s="220" t="s">
        <v>431</v>
      </c>
      <c r="E72" s="229">
        <v>68000</v>
      </c>
      <c r="F72" s="223">
        <f>IF(D72="","",기본자료!$K$67)</f>
        <v>8.8000000000000005E-3</v>
      </c>
      <c r="G72" s="224">
        <f t="shared" si="0"/>
        <v>598.40000000000009</v>
      </c>
      <c r="H72" s="225">
        <v>26200</v>
      </c>
      <c r="I72" s="225">
        <f t="shared" si="1"/>
        <v>26798.400000000001</v>
      </c>
      <c r="J72" s="226">
        <f t="shared" si="2"/>
        <v>41201.599999999999</v>
      </c>
      <c r="K72" s="227" t="s">
        <v>21</v>
      </c>
      <c r="L72" s="228"/>
    </row>
    <row r="73" spans="1:12" x14ac:dyDescent="0.3">
      <c r="A73" s="219"/>
      <c r="B73" s="220"/>
      <c r="C73" s="221"/>
      <c r="D73" s="220"/>
      <c r="E73" s="229"/>
      <c r="F73" s="223" t="str">
        <f>IF(D73="","",기본자료!$K$67)</f>
        <v/>
      </c>
      <c r="G73" s="224" t="str">
        <f t="shared" si="0"/>
        <v/>
      </c>
      <c r="H73" s="225"/>
      <c r="I73" s="225" t="str">
        <f t="shared" si="1"/>
        <v/>
      </c>
      <c r="J73" s="226" t="str">
        <f t="shared" si="2"/>
        <v/>
      </c>
      <c r="K73" s="227"/>
      <c r="L73" s="228"/>
    </row>
    <row r="74" spans="1:12" x14ac:dyDescent="0.3">
      <c r="A74" s="219"/>
      <c r="B74" s="220"/>
      <c r="C74" s="221"/>
      <c r="D74" s="220"/>
      <c r="E74" s="229"/>
      <c r="F74" s="223" t="str">
        <f>IF(D74="","",기본자료!$K$67)</f>
        <v/>
      </c>
      <c r="G74" s="224" t="str">
        <f t="shared" si="0"/>
        <v/>
      </c>
      <c r="H74" s="225"/>
      <c r="I74" s="225" t="str">
        <f t="shared" si="1"/>
        <v/>
      </c>
      <c r="J74" s="226" t="str">
        <f t="shared" si="2"/>
        <v/>
      </c>
      <c r="K74" s="227"/>
      <c r="L74" s="228"/>
    </row>
    <row r="75" spans="1:12" x14ac:dyDescent="0.3">
      <c r="A75" s="219"/>
      <c r="B75" s="220"/>
      <c r="C75" s="221"/>
      <c r="D75" s="220"/>
      <c r="E75" s="229"/>
      <c r="F75" s="223" t="str">
        <f>IF(D75="","",기본자료!$K$67)</f>
        <v/>
      </c>
      <c r="G75" s="224" t="str">
        <f t="shared" ref="G75:G138" si="3">IF(E75="","",E75*F75)</f>
        <v/>
      </c>
      <c r="H75" s="225"/>
      <c r="I75" s="225" t="str">
        <f t="shared" ref="I75:I138" si="4">IF(E75="","",G75+H75)</f>
        <v/>
      </c>
      <c r="J75" s="226" t="str">
        <f t="shared" ref="J75:J138" si="5">IF(E75="","",E75-I75)</f>
        <v/>
      </c>
      <c r="K75" s="227"/>
      <c r="L75" s="228"/>
    </row>
    <row r="76" spans="1:12" x14ac:dyDescent="0.3">
      <c r="A76" s="219"/>
      <c r="B76" s="220"/>
      <c r="C76" s="221"/>
      <c r="D76" s="220"/>
      <c r="E76" s="229"/>
      <c r="F76" s="223" t="str">
        <f>IF(D76="","",기본자료!$K$67)</f>
        <v/>
      </c>
      <c r="G76" s="224" t="str">
        <f t="shared" si="3"/>
        <v/>
      </c>
      <c r="H76" s="225"/>
      <c r="I76" s="225" t="str">
        <f t="shared" si="4"/>
        <v/>
      </c>
      <c r="J76" s="226" t="str">
        <f t="shared" si="5"/>
        <v/>
      </c>
      <c r="K76" s="227"/>
      <c r="L76" s="228"/>
    </row>
    <row r="77" spans="1:12" x14ac:dyDescent="0.3">
      <c r="A77" s="219"/>
      <c r="B77" s="220"/>
      <c r="C77" s="221"/>
      <c r="D77" s="220"/>
      <c r="E77" s="229"/>
      <c r="F77" s="223" t="str">
        <f>IF(D77="","",기본자료!$K$67)</f>
        <v/>
      </c>
      <c r="G77" s="224" t="str">
        <f t="shared" si="3"/>
        <v/>
      </c>
      <c r="H77" s="225"/>
      <c r="I77" s="225" t="str">
        <f t="shared" si="4"/>
        <v/>
      </c>
      <c r="J77" s="226" t="str">
        <f t="shared" si="5"/>
        <v/>
      </c>
      <c r="K77" s="227"/>
      <c r="L77" s="228"/>
    </row>
    <row r="78" spans="1:12" x14ac:dyDescent="0.3">
      <c r="A78" s="219"/>
      <c r="B78" s="220"/>
      <c r="C78" s="221"/>
      <c r="D78" s="220"/>
      <c r="E78" s="229"/>
      <c r="F78" s="223" t="str">
        <f>IF(D78="","",기본자료!$K$67)</f>
        <v/>
      </c>
      <c r="G78" s="224" t="str">
        <f t="shared" si="3"/>
        <v/>
      </c>
      <c r="H78" s="225"/>
      <c r="I78" s="225" t="str">
        <f t="shared" si="4"/>
        <v/>
      </c>
      <c r="J78" s="226" t="str">
        <f t="shared" si="5"/>
        <v/>
      </c>
      <c r="K78" s="227"/>
      <c r="L78" s="228"/>
    </row>
    <row r="79" spans="1:12" x14ac:dyDescent="0.3">
      <c r="A79" s="219"/>
      <c r="B79" s="220"/>
      <c r="C79" s="221"/>
      <c r="D79" s="220"/>
      <c r="E79" s="229"/>
      <c r="F79" s="223" t="str">
        <f>IF(D79="","",기본자료!$K$67)</f>
        <v/>
      </c>
      <c r="G79" s="224" t="str">
        <f t="shared" si="3"/>
        <v/>
      </c>
      <c r="H79" s="225"/>
      <c r="I79" s="225" t="str">
        <f t="shared" si="4"/>
        <v/>
      </c>
      <c r="J79" s="226" t="str">
        <f t="shared" si="5"/>
        <v/>
      </c>
      <c r="K79" s="227"/>
      <c r="L79" s="228"/>
    </row>
    <row r="80" spans="1:12" x14ac:dyDescent="0.3">
      <c r="A80" s="219"/>
      <c r="B80" s="220"/>
      <c r="C80" s="221"/>
      <c r="D80" s="220"/>
      <c r="E80" s="229"/>
      <c r="F80" s="223" t="str">
        <f>IF(D80="","",기본자료!$K$67)</f>
        <v/>
      </c>
      <c r="G80" s="224" t="str">
        <f t="shared" si="3"/>
        <v/>
      </c>
      <c r="H80" s="225"/>
      <c r="I80" s="225" t="str">
        <f t="shared" si="4"/>
        <v/>
      </c>
      <c r="J80" s="226" t="str">
        <f t="shared" si="5"/>
        <v/>
      </c>
      <c r="K80" s="227"/>
      <c r="L80" s="228"/>
    </row>
    <row r="81" spans="1:12" x14ac:dyDescent="0.3">
      <c r="A81" s="219"/>
      <c r="B81" s="220"/>
      <c r="C81" s="221"/>
      <c r="D81" s="220"/>
      <c r="E81" s="229"/>
      <c r="F81" s="223" t="str">
        <f>IF(D81="","",기본자료!$K$67)</f>
        <v/>
      </c>
      <c r="G81" s="224" t="str">
        <f t="shared" si="3"/>
        <v/>
      </c>
      <c r="H81" s="225"/>
      <c r="I81" s="225" t="str">
        <f t="shared" si="4"/>
        <v/>
      </c>
      <c r="J81" s="226" t="str">
        <f t="shared" si="5"/>
        <v/>
      </c>
      <c r="K81" s="227"/>
      <c r="L81" s="228"/>
    </row>
    <row r="82" spans="1:12" x14ac:dyDescent="0.3">
      <c r="A82" s="219"/>
      <c r="B82" s="220"/>
      <c r="C82" s="221"/>
      <c r="D82" s="220"/>
      <c r="E82" s="229"/>
      <c r="F82" s="223" t="str">
        <f>IF(D82="","",기본자료!$K$67)</f>
        <v/>
      </c>
      <c r="G82" s="224" t="str">
        <f t="shared" si="3"/>
        <v/>
      </c>
      <c r="H82" s="225"/>
      <c r="I82" s="225" t="str">
        <f t="shared" si="4"/>
        <v/>
      </c>
      <c r="J82" s="226" t="str">
        <f t="shared" si="5"/>
        <v/>
      </c>
      <c r="K82" s="227"/>
      <c r="L82" s="228"/>
    </row>
    <row r="83" spans="1:12" x14ac:dyDescent="0.3">
      <c r="A83" s="219"/>
      <c r="B83" s="220"/>
      <c r="C83" s="221"/>
      <c r="D83" s="220"/>
      <c r="E83" s="229"/>
      <c r="F83" s="223" t="str">
        <f>IF(D83="","",기본자료!$K$67)</f>
        <v/>
      </c>
      <c r="G83" s="224" t="str">
        <f t="shared" si="3"/>
        <v/>
      </c>
      <c r="H83" s="225"/>
      <c r="I83" s="225" t="str">
        <f t="shared" si="4"/>
        <v/>
      </c>
      <c r="J83" s="226" t="str">
        <f t="shared" si="5"/>
        <v/>
      </c>
      <c r="K83" s="227"/>
      <c r="L83" s="228"/>
    </row>
    <row r="84" spans="1:12" x14ac:dyDescent="0.3">
      <c r="A84" s="219"/>
      <c r="B84" s="220"/>
      <c r="C84" s="221"/>
      <c r="D84" s="220"/>
      <c r="E84" s="229"/>
      <c r="F84" s="223" t="str">
        <f>IF(D84="","",기본자료!$K$67)</f>
        <v/>
      </c>
      <c r="G84" s="224" t="str">
        <f t="shared" si="3"/>
        <v/>
      </c>
      <c r="H84" s="225"/>
      <c r="I84" s="225" t="str">
        <f t="shared" si="4"/>
        <v/>
      </c>
      <c r="J84" s="226" t="str">
        <f t="shared" si="5"/>
        <v/>
      </c>
      <c r="K84" s="227"/>
      <c r="L84" s="228"/>
    </row>
    <row r="85" spans="1:12" x14ac:dyDescent="0.3">
      <c r="A85" s="219"/>
      <c r="B85" s="220"/>
      <c r="C85" s="221"/>
      <c r="D85" s="220"/>
      <c r="E85" s="229"/>
      <c r="F85" s="223" t="str">
        <f>IF(D85="","",기본자료!$K$67)</f>
        <v/>
      </c>
      <c r="G85" s="224" t="str">
        <f t="shared" si="3"/>
        <v/>
      </c>
      <c r="H85" s="225"/>
      <c r="I85" s="225" t="str">
        <f t="shared" si="4"/>
        <v/>
      </c>
      <c r="J85" s="226" t="str">
        <f t="shared" si="5"/>
        <v/>
      </c>
      <c r="K85" s="227"/>
      <c r="L85" s="228"/>
    </row>
    <row r="86" spans="1:12" x14ac:dyDescent="0.3">
      <c r="A86" s="219"/>
      <c r="B86" s="220"/>
      <c r="C86" s="221"/>
      <c r="D86" s="220"/>
      <c r="E86" s="229"/>
      <c r="F86" s="223" t="str">
        <f>IF(D86="","",기본자료!$K$67)</f>
        <v/>
      </c>
      <c r="G86" s="224" t="str">
        <f t="shared" si="3"/>
        <v/>
      </c>
      <c r="H86" s="225"/>
      <c r="I86" s="225" t="str">
        <f t="shared" si="4"/>
        <v/>
      </c>
      <c r="J86" s="226" t="str">
        <f t="shared" si="5"/>
        <v/>
      </c>
      <c r="K86" s="227"/>
      <c r="L86" s="228"/>
    </row>
    <row r="87" spans="1:12" x14ac:dyDescent="0.3">
      <c r="A87" s="219"/>
      <c r="B87" s="220"/>
      <c r="C87" s="221"/>
      <c r="D87" s="220"/>
      <c r="E87" s="229"/>
      <c r="F87" s="223" t="str">
        <f>IF(D87="","",기본자료!$K$67)</f>
        <v/>
      </c>
      <c r="G87" s="224" t="str">
        <f t="shared" si="3"/>
        <v/>
      </c>
      <c r="H87" s="225"/>
      <c r="I87" s="225" t="str">
        <f t="shared" si="4"/>
        <v/>
      </c>
      <c r="J87" s="226" t="str">
        <f t="shared" si="5"/>
        <v/>
      </c>
      <c r="K87" s="227"/>
      <c r="L87" s="228"/>
    </row>
    <row r="88" spans="1:12" x14ac:dyDescent="0.3">
      <c r="A88" s="219"/>
      <c r="B88" s="220"/>
      <c r="C88" s="221"/>
      <c r="D88" s="220"/>
      <c r="E88" s="229"/>
      <c r="F88" s="223" t="str">
        <f>IF(D88="","",기본자료!$K$67)</f>
        <v/>
      </c>
      <c r="G88" s="224" t="str">
        <f t="shared" si="3"/>
        <v/>
      </c>
      <c r="H88" s="225"/>
      <c r="I88" s="225" t="str">
        <f t="shared" si="4"/>
        <v/>
      </c>
      <c r="J88" s="226" t="str">
        <f t="shared" si="5"/>
        <v/>
      </c>
      <c r="K88" s="227"/>
      <c r="L88" s="228"/>
    </row>
    <row r="89" spans="1:12" x14ac:dyDescent="0.3">
      <c r="A89" s="219"/>
      <c r="B89" s="220"/>
      <c r="C89" s="221"/>
      <c r="D89" s="220"/>
      <c r="E89" s="229"/>
      <c r="F89" s="223" t="str">
        <f>IF(D89="","",기본자료!$K$67)</f>
        <v/>
      </c>
      <c r="G89" s="224" t="str">
        <f t="shared" si="3"/>
        <v/>
      </c>
      <c r="H89" s="225"/>
      <c r="I89" s="225" t="str">
        <f t="shared" si="4"/>
        <v/>
      </c>
      <c r="J89" s="226" t="str">
        <f t="shared" si="5"/>
        <v/>
      </c>
      <c r="K89" s="227"/>
      <c r="L89" s="228"/>
    </row>
    <row r="90" spans="1:12" x14ac:dyDescent="0.3">
      <c r="A90" s="219"/>
      <c r="B90" s="220"/>
      <c r="C90" s="221"/>
      <c r="D90" s="220"/>
      <c r="E90" s="229"/>
      <c r="F90" s="223" t="str">
        <f>IF(D90="","",기본자료!$K$67)</f>
        <v/>
      </c>
      <c r="G90" s="224" t="str">
        <f t="shared" si="3"/>
        <v/>
      </c>
      <c r="H90" s="225"/>
      <c r="I90" s="225" t="str">
        <f t="shared" si="4"/>
        <v/>
      </c>
      <c r="J90" s="226" t="str">
        <f t="shared" si="5"/>
        <v/>
      </c>
      <c r="K90" s="227"/>
      <c r="L90" s="228"/>
    </row>
    <row r="91" spans="1:12" x14ac:dyDescent="0.3">
      <c r="A91" s="219"/>
      <c r="B91" s="220"/>
      <c r="C91" s="221"/>
      <c r="D91" s="220"/>
      <c r="E91" s="229"/>
      <c r="F91" s="223" t="str">
        <f>IF(D91="","",기본자료!$K$67)</f>
        <v/>
      </c>
      <c r="G91" s="224" t="str">
        <f t="shared" si="3"/>
        <v/>
      </c>
      <c r="H91" s="225"/>
      <c r="I91" s="225" t="str">
        <f t="shared" si="4"/>
        <v/>
      </c>
      <c r="J91" s="226" t="str">
        <f t="shared" si="5"/>
        <v/>
      </c>
      <c r="K91" s="227"/>
      <c r="L91" s="228"/>
    </row>
    <row r="92" spans="1:12" x14ac:dyDescent="0.3">
      <c r="A92" s="219"/>
      <c r="B92" s="220"/>
      <c r="C92" s="221"/>
      <c r="D92" s="220"/>
      <c r="E92" s="229"/>
      <c r="F92" s="223" t="str">
        <f>IF(D92="","",기본자료!$K$67)</f>
        <v/>
      </c>
      <c r="G92" s="224" t="str">
        <f t="shared" si="3"/>
        <v/>
      </c>
      <c r="H92" s="225"/>
      <c r="I92" s="225" t="str">
        <f t="shared" si="4"/>
        <v/>
      </c>
      <c r="J92" s="226" t="str">
        <f t="shared" si="5"/>
        <v/>
      </c>
      <c r="K92" s="227"/>
      <c r="L92" s="228"/>
    </row>
    <row r="93" spans="1:12" x14ac:dyDescent="0.3">
      <c r="A93" s="219"/>
      <c r="B93" s="220"/>
      <c r="C93" s="221"/>
      <c r="D93" s="220"/>
      <c r="E93" s="229"/>
      <c r="F93" s="223" t="str">
        <f>IF(D93="","",기본자료!$K$67)</f>
        <v/>
      </c>
      <c r="G93" s="224" t="str">
        <f t="shared" si="3"/>
        <v/>
      </c>
      <c r="H93" s="225"/>
      <c r="I93" s="225" t="str">
        <f t="shared" si="4"/>
        <v/>
      </c>
      <c r="J93" s="226" t="str">
        <f t="shared" si="5"/>
        <v/>
      </c>
      <c r="K93" s="227"/>
      <c r="L93" s="228"/>
    </row>
    <row r="94" spans="1:12" x14ac:dyDescent="0.3">
      <c r="A94" s="219"/>
      <c r="B94" s="220"/>
      <c r="C94" s="221"/>
      <c r="D94" s="220"/>
      <c r="E94" s="229"/>
      <c r="F94" s="223" t="str">
        <f>IF(D94="","",기본자료!$K$67)</f>
        <v/>
      </c>
      <c r="G94" s="224" t="str">
        <f t="shared" si="3"/>
        <v/>
      </c>
      <c r="H94" s="225"/>
      <c r="I94" s="225" t="str">
        <f t="shared" si="4"/>
        <v/>
      </c>
      <c r="J94" s="226" t="str">
        <f t="shared" si="5"/>
        <v/>
      </c>
      <c r="K94" s="227"/>
      <c r="L94" s="228"/>
    </row>
    <row r="95" spans="1:12" x14ac:dyDescent="0.3">
      <c r="A95" s="219"/>
      <c r="B95" s="220"/>
      <c r="C95" s="221"/>
      <c r="D95" s="220"/>
      <c r="E95" s="229"/>
      <c r="F95" s="223" t="str">
        <f>IF(D95="","",기본자료!$K$67)</f>
        <v/>
      </c>
      <c r="G95" s="224" t="str">
        <f t="shared" si="3"/>
        <v/>
      </c>
      <c r="H95" s="225"/>
      <c r="I95" s="225" t="str">
        <f t="shared" si="4"/>
        <v/>
      </c>
      <c r="J95" s="226" t="str">
        <f t="shared" si="5"/>
        <v/>
      </c>
      <c r="K95" s="227"/>
      <c r="L95" s="228"/>
    </row>
    <row r="96" spans="1:12" x14ac:dyDescent="0.3">
      <c r="A96" s="219"/>
      <c r="B96" s="220"/>
      <c r="C96" s="221"/>
      <c r="D96" s="220"/>
      <c r="E96" s="229"/>
      <c r="F96" s="223" t="str">
        <f>IF(D96="","",기본자료!$K$67)</f>
        <v/>
      </c>
      <c r="G96" s="224" t="str">
        <f t="shared" si="3"/>
        <v/>
      </c>
      <c r="H96" s="225"/>
      <c r="I96" s="225" t="str">
        <f t="shared" si="4"/>
        <v/>
      </c>
      <c r="J96" s="226" t="str">
        <f t="shared" si="5"/>
        <v/>
      </c>
      <c r="K96" s="227"/>
      <c r="L96" s="228"/>
    </row>
    <row r="97" spans="1:12" x14ac:dyDescent="0.3">
      <c r="A97" s="219"/>
      <c r="B97" s="220"/>
      <c r="C97" s="221"/>
      <c r="D97" s="220"/>
      <c r="E97" s="229"/>
      <c r="F97" s="223" t="str">
        <f>IF(D97="","",기본자료!$K$67)</f>
        <v/>
      </c>
      <c r="G97" s="224" t="str">
        <f t="shared" si="3"/>
        <v/>
      </c>
      <c r="H97" s="225"/>
      <c r="I97" s="225" t="str">
        <f t="shared" si="4"/>
        <v/>
      </c>
      <c r="J97" s="226" t="str">
        <f t="shared" si="5"/>
        <v/>
      </c>
      <c r="K97" s="227"/>
      <c r="L97" s="228"/>
    </row>
    <row r="98" spans="1:12" x14ac:dyDescent="0.3">
      <c r="A98" s="219"/>
      <c r="B98" s="220"/>
      <c r="C98" s="221"/>
      <c r="D98" s="220"/>
      <c r="E98" s="229"/>
      <c r="F98" s="223" t="str">
        <f>IF(D98="","",기본자료!$K$67)</f>
        <v/>
      </c>
      <c r="G98" s="224" t="str">
        <f t="shared" si="3"/>
        <v/>
      </c>
      <c r="H98" s="225"/>
      <c r="I98" s="225" t="str">
        <f t="shared" si="4"/>
        <v/>
      </c>
      <c r="J98" s="226" t="str">
        <f t="shared" si="5"/>
        <v/>
      </c>
      <c r="K98" s="227"/>
      <c r="L98" s="228"/>
    </row>
    <row r="99" spans="1:12" x14ac:dyDescent="0.3">
      <c r="A99" s="219"/>
      <c r="B99" s="220"/>
      <c r="C99" s="221"/>
      <c r="D99" s="220"/>
      <c r="E99" s="229"/>
      <c r="F99" s="223" t="str">
        <f>IF(D99="","",기본자료!$K$67)</f>
        <v/>
      </c>
      <c r="G99" s="224" t="str">
        <f t="shared" si="3"/>
        <v/>
      </c>
      <c r="H99" s="225"/>
      <c r="I99" s="225" t="str">
        <f t="shared" si="4"/>
        <v/>
      </c>
      <c r="J99" s="226" t="str">
        <f t="shared" si="5"/>
        <v/>
      </c>
      <c r="K99" s="227"/>
      <c r="L99" s="228"/>
    </row>
    <row r="100" spans="1:12" x14ac:dyDescent="0.3">
      <c r="A100" s="219"/>
      <c r="B100" s="220"/>
      <c r="C100" s="221"/>
      <c r="D100" s="220"/>
      <c r="E100" s="229"/>
      <c r="F100" s="223" t="str">
        <f>IF(D100="","",기본자료!$K$67)</f>
        <v/>
      </c>
      <c r="G100" s="224" t="str">
        <f t="shared" si="3"/>
        <v/>
      </c>
      <c r="H100" s="225"/>
      <c r="I100" s="225" t="str">
        <f t="shared" si="4"/>
        <v/>
      </c>
      <c r="J100" s="226" t="str">
        <f t="shared" si="5"/>
        <v/>
      </c>
      <c r="K100" s="227"/>
      <c r="L100" s="228"/>
    </row>
    <row r="101" spans="1:12" x14ac:dyDescent="0.3">
      <c r="A101" s="219"/>
      <c r="B101" s="220"/>
      <c r="C101" s="221"/>
      <c r="D101" s="220"/>
      <c r="E101" s="229"/>
      <c r="F101" s="223" t="str">
        <f>IF(D101="","",기본자료!$K$67)</f>
        <v/>
      </c>
      <c r="G101" s="224" t="str">
        <f t="shared" si="3"/>
        <v/>
      </c>
      <c r="H101" s="225"/>
      <c r="I101" s="225" t="str">
        <f t="shared" si="4"/>
        <v/>
      </c>
      <c r="J101" s="226" t="str">
        <f t="shared" si="5"/>
        <v/>
      </c>
      <c r="K101" s="227"/>
      <c r="L101" s="228"/>
    </row>
    <row r="102" spans="1:12" x14ac:dyDescent="0.3">
      <c r="A102" s="219"/>
      <c r="B102" s="220"/>
      <c r="C102" s="221"/>
      <c r="D102" s="220"/>
      <c r="E102" s="229"/>
      <c r="F102" s="223" t="str">
        <f>IF(D102="","",기본자료!$K$67)</f>
        <v/>
      </c>
      <c r="G102" s="224" t="str">
        <f t="shared" si="3"/>
        <v/>
      </c>
      <c r="H102" s="225"/>
      <c r="I102" s="225" t="str">
        <f t="shared" si="4"/>
        <v/>
      </c>
      <c r="J102" s="226" t="str">
        <f t="shared" si="5"/>
        <v/>
      </c>
      <c r="K102" s="227"/>
      <c r="L102" s="228"/>
    </row>
    <row r="103" spans="1:12" x14ac:dyDescent="0.3">
      <c r="A103" s="219"/>
      <c r="B103" s="220"/>
      <c r="C103" s="221"/>
      <c r="D103" s="220"/>
      <c r="E103" s="229"/>
      <c r="F103" s="223" t="str">
        <f>IF(D103="","",기본자료!$K$67)</f>
        <v/>
      </c>
      <c r="G103" s="224" t="str">
        <f t="shared" si="3"/>
        <v/>
      </c>
      <c r="H103" s="225"/>
      <c r="I103" s="225" t="str">
        <f t="shared" si="4"/>
        <v/>
      </c>
      <c r="J103" s="226" t="str">
        <f t="shared" si="5"/>
        <v/>
      </c>
      <c r="K103" s="227"/>
      <c r="L103" s="228"/>
    </row>
    <row r="104" spans="1:12" x14ac:dyDescent="0.3">
      <c r="A104" s="219"/>
      <c r="B104" s="220"/>
      <c r="C104" s="221"/>
      <c r="D104" s="220"/>
      <c r="E104" s="229"/>
      <c r="F104" s="223" t="str">
        <f>IF(D104="","",기본자료!$K$67)</f>
        <v/>
      </c>
      <c r="G104" s="224" t="str">
        <f t="shared" si="3"/>
        <v/>
      </c>
      <c r="H104" s="225"/>
      <c r="I104" s="225" t="str">
        <f t="shared" si="4"/>
        <v/>
      </c>
      <c r="J104" s="226" t="str">
        <f t="shared" si="5"/>
        <v/>
      </c>
      <c r="K104" s="227"/>
      <c r="L104" s="228"/>
    </row>
    <row r="105" spans="1:12" x14ac:dyDescent="0.3">
      <c r="A105" s="219"/>
      <c r="B105" s="220"/>
      <c r="C105" s="221"/>
      <c r="D105" s="220"/>
      <c r="E105" s="229"/>
      <c r="F105" s="223" t="str">
        <f>IF(D105="","",기본자료!$K$67)</f>
        <v/>
      </c>
      <c r="G105" s="224" t="str">
        <f t="shared" si="3"/>
        <v/>
      </c>
      <c r="H105" s="225"/>
      <c r="I105" s="225" t="str">
        <f t="shared" si="4"/>
        <v/>
      </c>
      <c r="J105" s="226" t="str">
        <f t="shared" si="5"/>
        <v/>
      </c>
      <c r="K105" s="227"/>
      <c r="L105" s="228"/>
    </row>
    <row r="106" spans="1:12" x14ac:dyDescent="0.3">
      <c r="A106" s="219"/>
      <c r="B106" s="220"/>
      <c r="C106" s="221"/>
      <c r="D106" s="220"/>
      <c r="E106" s="229"/>
      <c r="F106" s="223" t="str">
        <f>IF(D106="","",기본자료!$K$67)</f>
        <v/>
      </c>
      <c r="G106" s="224" t="str">
        <f t="shared" si="3"/>
        <v/>
      </c>
      <c r="H106" s="225"/>
      <c r="I106" s="225" t="str">
        <f t="shared" si="4"/>
        <v/>
      </c>
      <c r="J106" s="226" t="str">
        <f t="shared" si="5"/>
        <v/>
      </c>
      <c r="K106" s="227"/>
      <c r="L106" s="228"/>
    </row>
    <row r="107" spans="1:12" x14ac:dyDescent="0.3">
      <c r="A107" s="219"/>
      <c r="B107" s="220"/>
      <c r="C107" s="221"/>
      <c r="D107" s="220"/>
      <c r="E107" s="229"/>
      <c r="F107" s="223" t="str">
        <f>IF(D107="","",기본자료!$K$67)</f>
        <v/>
      </c>
      <c r="G107" s="224" t="str">
        <f t="shared" si="3"/>
        <v/>
      </c>
      <c r="H107" s="225"/>
      <c r="I107" s="225" t="str">
        <f t="shared" si="4"/>
        <v/>
      </c>
      <c r="J107" s="226" t="str">
        <f t="shared" si="5"/>
        <v/>
      </c>
      <c r="K107" s="227"/>
      <c r="L107" s="228"/>
    </row>
    <row r="108" spans="1:12" x14ac:dyDescent="0.3">
      <c r="A108" s="219"/>
      <c r="B108" s="220"/>
      <c r="C108" s="221"/>
      <c r="D108" s="220"/>
      <c r="E108" s="229"/>
      <c r="F108" s="223" t="str">
        <f>IF(D108="","",기본자료!$K$67)</f>
        <v/>
      </c>
      <c r="G108" s="224" t="str">
        <f t="shared" si="3"/>
        <v/>
      </c>
      <c r="H108" s="225"/>
      <c r="I108" s="225" t="str">
        <f t="shared" si="4"/>
        <v/>
      </c>
      <c r="J108" s="226" t="str">
        <f t="shared" si="5"/>
        <v/>
      </c>
      <c r="K108" s="227"/>
      <c r="L108" s="228"/>
    </row>
    <row r="109" spans="1:12" x14ac:dyDescent="0.3">
      <c r="A109" s="219"/>
      <c r="B109" s="220"/>
      <c r="C109" s="221"/>
      <c r="D109" s="220"/>
      <c r="E109" s="229"/>
      <c r="F109" s="223" t="str">
        <f>IF(D109="","",기본자료!$K$67)</f>
        <v/>
      </c>
      <c r="G109" s="224" t="str">
        <f t="shared" si="3"/>
        <v/>
      </c>
      <c r="H109" s="225"/>
      <c r="I109" s="225" t="str">
        <f t="shared" si="4"/>
        <v/>
      </c>
      <c r="J109" s="226" t="str">
        <f t="shared" si="5"/>
        <v/>
      </c>
      <c r="K109" s="227"/>
      <c r="L109" s="228"/>
    </row>
    <row r="110" spans="1:12" x14ac:dyDescent="0.3">
      <c r="A110" s="219"/>
      <c r="B110" s="220"/>
      <c r="C110" s="221"/>
      <c r="D110" s="220"/>
      <c r="E110" s="229"/>
      <c r="F110" s="223" t="str">
        <f>IF(D110="","",기본자료!$K$67)</f>
        <v/>
      </c>
      <c r="G110" s="224" t="str">
        <f t="shared" si="3"/>
        <v/>
      </c>
      <c r="H110" s="225"/>
      <c r="I110" s="225" t="str">
        <f t="shared" si="4"/>
        <v/>
      </c>
      <c r="J110" s="226" t="str">
        <f t="shared" si="5"/>
        <v/>
      </c>
      <c r="K110" s="227"/>
      <c r="L110" s="228"/>
    </row>
    <row r="111" spans="1:12" x14ac:dyDescent="0.3">
      <c r="A111" s="219"/>
      <c r="B111" s="220"/>
      <c r="C111" s="221"/>
      <c r="D111" s="220"/>
      <c r="E111" s="229"/>
      <c r="F111" s="223" t="str">
        <f>IF(D111="","",기본자료!$K$67)</f>
        <v/>
      </c>
      <c r="G111" s="224" t="str">
        <f t="shared" si="3"/>
        <v/>
      </c>
      <c r="H111" s="225"/>
      <c r="I111" s="225" t="str">
        <f t="shared" si="4"/>
        <v/>
      </c>
      <c r="J111" s="226" t="str">
        <f t="shared" si="5"/>
        <v/>
      </c>
      <c r="K111" s="227"/>
      <c r="L111" s="228"/>
    </row>
    <row r="112" spans="1:12" x14ac:dyDescent="0.3">
      <c r="A112" s="219"/>
      <c r="B112" s="220"/>
      <c r="C112" s="221"/>
      <c r="D112" s="220"/>
      <c r="E112" s="229"/>
      <c r="F112" s="223" t="str">
        <f>IF(D112="","",기본자료!$K$67)</f>
        <v/>
      </c>
      <c r="G112" s="224" t="str">
        <f t="shared" si="3"/>
        <v/>
      </c>
      <c r="H112" s="225"/>
      <c r="I112" s="225" t="str">
        <f t="shared" si="4"/>
        <v/>
      </c>
      <c r="J112" s="226" t="str">
        <f t="shared" si="5"/>
        <v/>
      </c>
      <c r="K112" s="227"/>
      <c r="L112" s="228"/>
    </row>
    <row r="113" spans="1:12" x14ac:dyDescent="0.3">
      <c r="A113" s="219"/>
      <c r="B113" s="220"/>
      <c r="C113" s="221"/>
      <c r="D113" s="220"/>
      <c r="E113" s="229"/>
      <c r="F113" s="223" t="str">
        <f>IF(D113="","",기본자료!$K$67)</f>
        <v/>
      </c>
      <c r="G113" s="224" t="str">
        <f t="shared" si="3"/>
        <v/>
      </c>
      <c r="H113" s="225"/>
      <c r="I113" s="225" t="str">
        <f t="shared" si="4"/>
        <v/>
      </c>
      <c r="J113" s="226" t="str">
        <f t="shared" si="5"/>
        <v/>
      </c>
      <c r="K113" s="227"/>
      <c r="L113" s="228"/>
    </row>
    <row r="114" spans="1:12" x14ac:dyDescent="0.3">
      <c r="A114" s="219"/>
      <c r="B114" s="220"/>
      <c r="C114" s="221"/>
      <c r="D114" s="220"/>
      <c r="E114" s="229"/>
      <c r="F114" s="223" t="str">
        <f>IF(D114="","",기본자료!$K$67)</f>
        <v/>
      </c>
      <c r="G114" s="224" t="str">
        <f t="shared" si="3"/>
        <v/>
      </c>
      <c r="H114" s="225"/>
      <c r="I114" s="225" t="str">
        <f t="shared" si="4"/>
        <v/>
      </c>
      <c r="J114" s="226" t="str">
        <f t="shared" si="5"/>
        <v/>
      </c>
      <c r="K114" s="227"/>
      <c r="L114" s="228"/>
    </row>
    <row r="115" spans="1:12" x14ac:dyDescent="0.3">
      <c r="A115" s="219"/>
      <c r="B115" s="220"/>
      <c r="C115" s="221"/>
      <c r="D115" s="220"/>
      <c r="E115" s="229"/>
      <c r="F115" s="223" t="str">
        <f>IF(D115="","",기본자료!$K$67)</f>
        <v/>
      </c>
      <c r="G115" s="224" t="str">
        <f t="shared" si="3"/>
        <v/>
      </c>
      <c r="H115" s="225"/>
      <c r="I115" s="225" t="str">
        <f t="shared" si="4"/>
        <v/>
      </c>
      <c r="J115" s="226" t="str">
        <f t="shared" si="5"/>
        <v/>
      </c>
      <c r="K115" s="227"/>
      <c r="L115" s="228"/>
    </row>
    <row r="116" spans="1:12" x14ac:dyDescent="0.3">
      <c r="A116" s="219"/>
      <c r="B116" s="220"/>
      <c r="C116" s="221"/>
      <c r="D116" s="220"/>
      <c r="E116" s="229"/>
      <c r="F116" s="223" t="str">
        <f>IF(D116="","",기본자료!$K$67)</f>
        <v/>
      </c>
      <c r="G116" s="224" t="str">
        <f t="shared" si="3"/>
        <v/>
      </c>
      <c r="H116" s="225"/>
      <c r="I116" s="225" t="str">
        <f t="shared" si="4"/>
        <v/>
      </c>
      <c r="J116" s="226" t="str">
        <f t="shared" si="5"/>
        <v/>
      </c>
      <c r="K116" s="227"/>
      <c r="L116" s="228"/>
    </row>
    <row r="117" spans="1:12" x14ac:dyDescent="0.3">
      <c r="A117" s="219"/>
      <c r="B117" s="220"/>
      <c r="C117" s="221"/>
      <c r="D117" s="220"/>
      <c r="E117" s="229"/>
      <c r="F117" s="223" t="str">
        <f>IF(D117="","",기본자료!$K$67)</f>
        <v/>
      </c>
      <c r="G117" s="224" t="str">
        <f t="shared" si="3"/>
        <v/>
      </c>
      <c r="H117" s="225"/>
      <c r="I117" s="225" t="str">
        <f t="shared" si="4"/>
        <v/>
      </c>
      <c r="J117" s="226" t="str">
        <f t="shared" si="5"/>
        <v/>
      </c>
      <c r="K117" s="227"/>
      <c r="L117" s="228"/>
    </row>
    <row r="118" spans="1:12" x14ac:dyDescent="0.3">
      <c r="A118" s="219"/>
      <c r="B118" s="220"/>
      <c r="C118" s="221"/>
      <c r="D118" s="220"/>
      <c r="E118" s="229"/>
      <c r="F118" s="223" t="str">
        <f>IF(D118="","",기본자료!$K$67)</f>
        <v/>
      </c>
      <c r="G118" s="224" t="str">
        <f t="shared" si="3"/>
        <v/>
      </c>
      <c r="H118" s="225"/>
      <c r="I118" s="225" t="str">
        <f t="shared" si="4"/>
        <v/>
      </c>
      <c r="J118" s="226" t="str">
        <f t="shared" si="5"/>
        <v/>
      </c>
      <c r="K118" s="227"/>
      <c r="L118" s="228"/>
    </row>
    <row r="119" spans="1:12" x14ac:dyDescent="0.3">
      <c r="A119" s="219"/>
      <c r="B119" s="220"/>
      <c r="C119" s="221"/>
      <c r="D119" s="220"/>
      <c r="E119" s="229"/>
      <c r="F119" s="223" t="str">
        <f>IF(D119="","",기본자료!$K$67)</f>
        <v/>
      </c>
      <c r="G119" s="224" t="str">
        <f t="shared" si="3"/>
        <v/>
      </c>
      <c r="H119" s="225"/>
      <c r="I119" s="225" t="str">
        <f t="shared" si="4"/>
        <v/>
      </c>
      <c r="J119" s="226" t="str">
        <f t="shared" si="5"/>
        <v/>
      </c>
      <c r="K119" s="227"/>
      <c r="L119" s="228"/>
    </row>
    <row r="120" spans="1:12" x14ac:dyDescent="0.3">
      <c r="A120" s="219"/>
      <c r="B120" s="220"/>
      <c r="C120" s="221"/>
      <c r="D120" s="220"/>
      <c r="E120" s="229"/>
      <c r="F120" s="223" t="str">
        <f>IF(D120="","",기본자료!$K$67)</f>
        <v/>
      </c>
      <c r="G120" s="224" t="str">
        <f t="shared" si="3"/>
        <v/>
      </c>
      <c r="H120" s="225"/>
      <c r="I120" s="225" t="str">
        <f t="shared" si="4"/>
        <v/>
      </c>
      <c r="J120" s="226" t="str">
        <f t="shared" si="5"/>
        <v/>
      </c>
      <c r="K120" s="227"/>
      <c r="L120" s="228"/>
    </row>
    <row r="121" spans="1:12" x14ac:dyDescent="0.3">
      <c r="A121" s="219"/>
      <c r="B121" s="220"/>
      <c r="C121" s="221"/>
      <c r="D121" s="220"/>
      <c r="E121" s="229"/>
      <c r="F121" s="223" t="str">
        <f>IF(D121="","",기본자료!$K$67)</f>
        <v/>
      </c>
      <c r="G121" s="224" t="str">
        <f t="shared" si="3"/>
        <v/>
      </c>
      <c r="H121" s="225"/>
      <c r="I121" s="225" t="str">
        <f t="shared" si="4"/>
        <v/>
      </c>
      <c r="J121" s="226" t="str">
        <f t="shared" si="5"/>
        <v/>
      </c>
      <c r="K121" s="227"/>
      <c r="L121" s="228"/>
    </row>
    <row r="122" spans="1:12" x14ac:dyDescent="0.3">
      <c r="A122" s="219"/>
      <c r="B122" s="220"/>
      <c r="C122" s="221"/>
      <c r="D122" s="220"/>
      <c r="E122" s="229"/>
      <c r="F122" s="223" t="str">
        <f>IF(D122="","",기본자료!$K$67)</f>
        <v/>
      </c>
      <c r="G122" s="224" t="str">
        <f t="shared" si="3"/>
        <v/>
      </c>
      <c r="H122" s="225"/>
      <c r="I122" s="225" t="str">
        <f t="shared" si="4"/>
        <v/>
      </c>
      <c r="J122" s="226" t="str">
        <f t="shared" si="5"/>
        <v/>
      </c>
      <c r="K122" s="227"/>
      <c r="L122" s="228"/>
    </row>
    <row r="123" spans="1:12" x14ac:dyDescent="0.3">
      <c r="A123" s="219"/>
      <c r="B123" s="220"/>
      <c r="C123" s="221"/>
      <c r="D123" s="220"/>
      <c r="E123" s="229"/>
      <c r="F123" s="223" t="str">
        <f>IF(D123="","",기본자료!$K$67)</f>
        <v/>
      </c>
      <c r="G123" s="224" t="str">
        <f t="shared" si="3"/>
        <v/>
      </c>
      <c r="H123" s="225"/>
      <c r="I123" s="225" t="str">
        <f t="shared" si="4"/>
        <v/>
      </c>
      <c r="J123" s="226" t="str">
        <f t="shared" si="5"/>
        <v/>
      </c>
      <c r="K123" s="227"/>
      <c r="L123" s="228"/>
    </row>
    <row r="124" spans="1:12" x14ac:dyDescent="0.3">
      <c r="A124" s="219"/>
      <c r="B124" s="220"/>
      <c r="C124" s="221"/>
      <c r="D124" s="220"/>
      <c r="E124" s="229"/>
      <c r="F124" s="223" t="str">
        <f>IF(D124="","",기본자료!$K$67)</f>
        <v/>
      </c>
      <c r="G124" s="224" t="str">
        <f t="shared" si="3"/>
        <v/>
      </c>
      <c r="H124" s="225"/>
      <c r="I124" s="225" t="str">
        <f t="shared" si="4"/>
        <v/>
      </c>
      <c r="J124" s="226" t="str">
        <f t="shared" si="5"/>
        <v/>
      </c>
      <c r="K124" s="227"/>
      <c r="L124" s="228"/>
    </row>
    <row r="125" spans="1:12" x14ac:dyDescent="0.3">
      <c r="A125" s="219"/>
      <c r="B125" s="220"/>
      <c r="C125" s="221"/>
      <c r="D125" s="220"/>
      <c r="E125" s="229"/>
      <c r="F125" s="223" t="str">
        <f>IF(D125="","",기본자료!$K$67)</f>
        <v/>
      </c>
      <c r="G125" s="224" t="str">
        <f t="shared" si="3"/>
        <v/>
      </c>
      <c r="H125" s="225"/>
      <c r="I125" s="225" t="str">
        <f t="shared" si="4"/>
        <v/>
      </c>
      <c r="J125" s="226" t="str">
        <f t="shared" si="5"/>
        <v/>
      </c>
      <c r="K125" s="227"/>
      <c r="L125" s="228"/>
    </row>
    <row r="126" spans="1:12" x14ac:dyDescent="0.3">
      <c r="A126" s="219"/>
      <c r="B126" s="220"/>
      <c r="C126" s="221"/>
      <c r="D126" s="220"/>
      <c r="E126" s="229"/>
      <c r="F126" s="223" t="str">
        <f>IF(D126="","",기본자료!$K$67)</f>
        <v/>
      </c>
      <c r="G126" s="224" t="str">
        <f t="shared" si="3"/>
        <v/>
      </c>
      <c r="H126" s="225"/>
      <c r="I126" s="225" t="str">
        <f t="shared" si="4"/>
        <v/>
      </c>
      <c r="J126" s="226" t="str">
        <f t="shared" si="5"/>
        <v/>
      </c>
      <c r="K126" s="227"/>
      <c r="L126" s="228"/>
    </row>
    <row r="127" spans="1:12" x14ac:dyDescent="0.3">
      <c r="A127" s="219"/>
      <c r="B127" s="220"/>
      <c r="C127" s="221"/>
      <c r="D127" s="220"/>
      <c r="E127" s="229"/>
      <c r="F127" s="223" t="str">
        <f>IF(D127="","",기본자료!$K$67)</f>
        <v/>
      </c>
      <c r="G127" s="224" t="str">
        <f t="shared" si="3"/>
        <v/>
      </c>
      <c r="H127" s="225"/>
      <c r="I127" s="225" t="str">
        <f t="shared" si="4"/>
        <v/>
      </c>
      <c r="J127" s="226" t="str">
        <f t="shared" si="5"/>
        <v/>
      </c>
      <c r="K127" s="227"/>
      <c r="L127" s="228"/>
    </row>
    <row r="128" spans="1:12" x14ac:dyDescent="0.3">
      <c r="A128" s="219"/>
      <c r="B128" s="220"/>
      <c r="C128" s="221"/>
      <c r="D128" s="220"/>
      <c r="E128" s="229"/>
      <c r="F128" s="223" t="str">
        <f>IF(D128="","",기본자료!$K$67)</f>
        <v/>
      </c>
      <c r="G128" s="224" t="str">
        <f t="shared" si="3"/>
        <v/>
      </c>
      <c r="H128" s="225"/>
      <c r="I128" s="225" t="str">
        <f t="shared" si="4"/>
        <v/>
      </c>
      <c r="J128" s="226" t="str">
        <f t="shared" si="5"/>
        <v/>
      </c>
      <c r="K128" s="227"/>
      <c r="L128" s="228"/>
    </row>
    <row r="129" spans="1:12" x14ac:dyDescent="0.3">
      <c r="A129" s="219"/>
      <c r="B129" s="220"/>
      <c r="C129" s="221"/>
      <c r="D129" s="220"/>
      <c r="E129" s="229"/>
      <c r="F129" s="223" t="str">
        <f>IF(D129="","",기본자료!$K$67)</f>
        <v/>
      </c>
      <c r="G129" s="224" t="str">
        <f t="shared" si="3"/>
        <v/>
      </c>
      <c r="H129" s="225"/>
      <c r="I129" s="225" t="str">
        <f t="shared" si="4"/>
        <v/>
      </c>
      <c r="J129" s="226" t="str">
        <f t="shared" si="5"/>
        <v/>
      </c>
      <c r="K129" s="227"/>
      <c r="L129" s="228"/>
    </row>
    <row r="130" spans="1:12" x14ac:dyDescent="0.3">
      <c r="A130" s="219"/>
      <c r="B130" s="220"/>
      <c r="C130" s="221"/>
      <c r="D130" s="220"/>
      <c r="E130" s="229"/>
      <c r="F130" s="223" t="str">
        <f>IF(D130="","",기본자료!$K$67)</f>
        <v/>
      </c>
      <c r="G130" s="224" t="str">
        <f t="shared" si="3"/>
        <v/>
      </c>
      <c r="H130" s="225"/>
      <c r="I130" s="225" t="str">
        <f t="shared" si="4"/>
        <v/>
      </c>
      <c r="J130" s="226" t="str">
        <f t="shared" si="5"/>
        <v/>
      </c>
      <c r="K130" s="227"/>
      <c r="L130" s="228"/>
    </row>
    <row r="131" spans="1:12" x14ac:dyDescent="0.3">
      <c r="A131" s="219"/>
      <c r="B131" s="220"/>
      <c r="C131" s="221"/>
      <c r="D131" s="220"/>
      <c r="E131" s="229"/>
      <c r="F131" s="223" t="str">
        <f>IF(D131="","",기본자료!$K$67)</f>
        <v/>
      </c>
      <c r="G131" s="224" t="str">
        <f t="shared" si="3"/>
        <v/>
      </c>
      <c r="H131" s="225"/>
      <c r="I131" s="225" t="str">
        <f t="shared" si="4"/>
        <v/>
      </c>
      <c r="J131" s="226" t="str">
        <f t="shared" si="5"/>
        <v/>
      </c>
      <c r="K131" s="227"/>
      <c r="L131" s="228"/>
    </row>
    <row r="132" spans="1:12" x14ac:dyDescent="0.3">
      <c r="A132" s="219"/>
      <c r="B132" s="220"/>
      <c r="C132" s="221"/>
      <c r="D132" s="220"/>
      <c r="E132" s="229"/>
      <c r="F132" s="223" t="str">
        <f>IF(D132="","",기본자료!$K$67)</f>
        <v/>
      </c>
      <c r="G132" s="224" t="str">
        <f t="shared" si="3"/>
        <v/>
      </c>
      <c r="H132" s="225"/>
      <c r="I132" s="225" t="str">
        <f t="shared" si="4"/>
        <v/>
      </c>
      <c r="J132" s="226" t="str">
        <f t="shared" si="5"/>
        <v/>
      </c>
      <c r="K132" s="227"/>
      <c r="L132" s="228"/>
    </row>
    <row r="133" spans="1:12" x14ac:dyDescent="0.3">
      <c r="A133" s="219"/>
      <c r="B133" s="220"/>
      <c r="C133" s="221"/>
      <c r="D133" s="220"/>
      <c r="E133" s="229"/>
      <c r="F133" s="223" t="str">
        <f>IF(D133="","",기본자료!$K$67)</f>
        <v/>
      </c>
      <c r="G133" s="224" t="str">
        <f t="shared" si="3"/>
        <v/>
      </c>
      <c r="H133" s="225"/>
      <c r="I133" s="225" t="str">
        <f t="shared" si="4"/>
        <v/>
      </c>
      <c r="J133" s="226" t="str">
        <f t="shared" si="5"/>
        <v/>
      </c>
      <c r="K133" s="227"/>
      <c r="L133" s="228"/>
    </row>
    <row r="134" spans="1:12" x14ac:dyDescent="0.3">
      <c r="A134" s="219"/>
      <c r="B134" s="220"/>
      <c r="C134" s="221"/>
      <c r="D134" s="220"/>
      <c r="E134" s="229"/>
      <c r="F134" s="223" t="str">
        <f>IF(D134="","",기본자료!$K$67)</f>
        <v/>
      </c>
      <c r="G134" s="224" t="str">
        <f t="shared" si="3"/>
        <v/>
      </c>
      <c r="H134" s="225"/>
      <c r="I134" s="225" t="str">
        <f t="shared" si="4"/>
        <v/>
      </c>
      <c r="J134" s="226" t="str">
        <f t="shared" si="5"/>
        <v/>
      </c>
      <c r="K134" s="227"/>
      <c r="L134" s="228"/>
    </row>
    <row r="135" spans="1:12" x14ac:dyDescent="0.3">
      <c r="A135" s="219"/>
      <c r="B135" s="220"/>
      <c r="C135" s="221"/>
      <c r="D135" s="220"/>
      <c r="E135" s="229"/>
      <c r="F135" s="223" t="str">
        <f>IF(D135="","",기본자료!$K$67)</f>
        <v/>
      </c>
      <c r="G135" s="224" t="str">
        <f t="shared" si="3"/>
        <v/>
      </c>
      <c r="H135" s="225"/>
      <c r="I135" s="225" t="str">
        <f t="shared" si="4"/>
        <v/>
      </c>
      <c r="J135" s="226" t="str">
        <f t="shared" si="5"/>
        <v/>
      </c>
      <c r="K135" s="227"/>
      <c r="L135" s="228"/>
    </row>
    <row r="136" spans="1:12" x14ac:dyDescent="0.3">
      <c r="A136" s="219"/>
      <c r="B136" s="220"/>
      <c r="C136" s="221"/>
      <c r="D136" s="220"/>
      <c r="E136" s="229"/>
      <c r="F136" s="223" t="str">
        <f>IF(D136="","",기본자료!$K$67)</f>
        <v/>
      </c>
      <c r="G136" s="224" t="str">
        <f t="shared" si="3"/>
        <v/>
      </c>
      <c r="H136" s="225"/>
      <c r="I136" s="225" t="str">
        <f t="shared" si="4"/>
        <v/>
      </c>
      <c r="J136" s="226" t="str">
        <f t="shared" si="5"/>
        <v/>
      </c>
      <c r="K136" s="227"/>
      <c r="L136" s="228"/>
    </row>
    <row r="137" spans="1:12" x14ac:dyDescent="0.3">
      <c r="A137" s="219"/>
      <c r="B137" s="220"/>
      <c r="C137" s="221"/>
      <c r="D137" s="220"/>
      <c r="E137" s="229"/>
      <c r="F137" s="223" t="str">
        <f>IF(D137="","",기본자료!$K$67)</f>
        <v/>
      </c>
      <c r="G137" s="224" t="str">
        <f t="shared" si="3"/>
        <v/>
      </c>
      <c r="H137" s="225"/>
      <c r="I137" s="225" t="str">
        <f t="shared" si="4"/>
        <v/>
      </c>
      <c r="J137" s="226" t="str">
        <f t="shared" si="5"/>
        <v/>
      </c>
      <c r="K137" s="227"/>
      <c r="L137" s="228"/>
    </row>
    <row r="138" spans="1:12" x14ac:dyDescent="0.3">
      <c r="A138" s="219"/>
      <c r="B138" s="220"/>
      <c r="C138" s="221"/>
      <c r="D138" s="220"/>
      <c r="E138" s="229"/>
      <c r="F138" s="223" t="str">
        <f>IF(D138="","",기본자료!$K$67)</f>
        <v/>
      </c>
      <c r="G138" s="224" t="str">
        <f t="shared" si="3"/>
        <v/>
      </c>
      <c r="H138" s="225"/>
      <c r="I138" s="225" t="str">
        <f t="shared" si="4"/>
        <v/>
      </c>
      <c r="J138" s="226" t="str">
        <f t="shared" si="5"/>
        <v/>
      </c>
      <c r="K138" s="227"/>
      <c r="L138" s="228"/>
    </row>
    <row r="139" spans="1:12" x14ac:dyDescent="0.3">
      <c r="A139" s="219"/>
      <c r="B139" s="220"/>
      <c r="C139" s="221"/>
      <c r="D139" s="220"/>
      <c r="E139" s="229"/>
      <c r="F139" s="223" t="str">
        <f>IF(D139="","",기본자료!$K$67)</f>
        <v/>
      </c>
      <c r="G139" s="224" t="str">
        <f t="shared" ref="G139:G202" si="6">IF(E139="","",E139*F139)</f>
        <v/>
      </c>
      <c r="H139" s="225"/>
      <c r="I139" s="225" t="str">
        <f t="shared" ref="I139:I202" si="7">IF(E139="","",G139+H139)</f>
        <v/>
      </c>
      <c r="J139" s="226" t="str">
        <f t="shared" ref="J139:J202" si="8">IF(E139="","",E139-I139)</f>
        <v/>
      </c>
      <c r="K139" s="227"/>
      <c r="L139" s="228"/>
    </row>
    <row r="140" spans="1:12" x14ac:dyDescent="0.3">
      <c r="A140" s="219"/>
      <c r="B140" s="220"/>
      <c r="C140" s="221"/>
      <c r="D140" s="220"/>
      <c r="E140" s="229"/>
      <c r="F140" s="223" t="str">
        <f>IF(D140="","",기본자료!$K$67)</f>
        <v/>
      </c>
      <c r="G140" s="224" t="str">
        <f t="shared" si="6"/>
        <v/>
      </c>
      <c r="H140" s="225"/>
      <c r="I140" s="225" t="str">
        <f t="shared" si="7"/>
        <v/>
      </c>
      <c r="J140" s="226" t="str">
        <f t="shared" si="8"/>
        <v/>
      </c>
      <c r="K140" s="227"/>
      <c r="L140" s="228"/>
    </row>
    <row r="141" spans="1:12" x14ac:dyDescent="0.3">
      <c r="A141" s="219"/>
      <c r="B141" s="220"/>
      <c r="C141" s="221"/>
      <c r="D141" s="220"/>
      <c r="E141" s="229"/>
      <c r="F141" s="223" t="str">
        <f>IF(D141="","",기본자료!$K$67)</f>
        <v/>
      </c>
      <c r="G141" s="224" t="str">
        <f t="shared" si="6"/>
        <v/>
      </c>
      <c r="H141" s="225"/>
      <c r="I141" s="225" t="str">
        <f t="shared" si="7"/>
        <v/>
      </c>
      <c r="J141" s="226" t="str">
        <f t="shared" si="8"/>
        <v/>
      </c>
      <c r="K141" s="227"/>
      <c r="L141" s="228"/>
    </row>
    <row r="142" spans="1:12" x14ac:dyDescent="0.3">
      <c r="A142" s="219"/>
      <c r="B142" s="220"/>
      <c r="C142" s="221"/>
      <c r="D142" s="220"/>
      <c r="E142" s="229"/>
      <c r="F142" s="223" t="str">
        <f>IF(D142="","",기본자료!$K$67)</f>
        <v/>
      </c>
      <c r="G142" s="224" t="str">
        <f t="shared" si="6"/>
        <v/>
      </c>
      <c r="H142" s="225"/>
      <c r="I142" s="225" t="str">
        <f t="shared" si="7"/>
        <v/>
      </c>
      <c r="J142" s="226" t="str">
        <f t="shared" si="8"/>
        <v/>
      </c>
      <c r="K142" s="227"/>
      <c r="L142" s="228"/>
    </row>
    <row r="143" spans="1:12" x14ac:dyDescent="0.3">
      <c r="A143" s="219"/>
      <c r="B143" s="220"/>
      <c r="C143" s="221"/>
      <c r="D143" s="220"/>
      <c r="E143" s="229"/>
      <c r="F143" s="223" t="str">
        <f>IF(D143="","",기본자료!$K$67)</f>
        <v/>
      </c>
      <c r="G143" s="224" t="str">
        <f t="shared" si="6"/>
        <v/>
      </c>
      <c r="H143" s="225"/>
      <c r="I143" s="225" t="str">
        <f t="shared" si="7"/>
        <v/>
      </c>
      <c r="J143" s="226" t="str">
        <f t="shared" si="8"/>
        <v/>
      </c>
      <c r="K143" s="227"/>
      <c r="L143" s="228"/>
    </row>
    <row r="144" spans="1:12" x14ac:dyDescent="0.3">
      <c r="A144" s="219"/>
      <c r="B144" s="220"/>
      <c r="C144" s="221"/>
      <c r="D144" s="220"/>
      <c r="E144" s="229"/>
      <c r="F144" s="223" t="str">
        <f>IF(D144="","",기본자료!$K$67)</f>
        <v/>
      </c>
      <c r="G144" s="224" t="str">
        <f t="shared" si="6"/>
        <v/>
      </c>
      <c r="H144" s="225"/>
      <c r="I144" s="225" t="str">
        <f t="shared" si="7"/>
        <v/>
      </c>
      <c r="J144" s="226" t="str">
        <f t="shared" si="8"/>
        <v/>
      </c>
      <c r="K144" s="227"/>
      <c r="L144" s="228"/>
    </row>
    <row r="145" spans="1:12" x14ac:dyDescent="0.3">
      <c r="A145" s="219"/>
      <c r="B145" s="220"/>
      <c r="C145" s="221"/>
      <c r="D145" s="220"/>
      <c r="E145" s="229"/>
      <c r="F145" s="223" t="str">
        <f>IF(D145="","",기본자료!$K$67)</f>
        <v/>
      </c>
      <c r="G145" s="224" t="str">
        <f t="shared" si="6"/>
        <v/>
      </c>
      <c r="H145" s="225"/>
      <c r="I145" s="225" t="str">
        <f t="shared" si="7"/>
        <v/>
      </c>
      <c r="J145" s="226" t="str">
        <f t="shared" si="8"/>
        <v/>
      </c>
      <c r="K145" s="227"/>
      <c r="L145" s="228"/>
    </row>
    <row r="146" spans="1:12" x14ac:dyDescent="0.3">
      <c r="A146" s="219"/>
      <c r="B146" s="220"/>
      <c r="C146" s="221"/>
      <c r="D146" s="220"/>
      <c r="E146" s="229"/>
      <c r="F146" s="223" t="str">
        <f>IF(D146="","",기본자료!$K$67)</f>
        <v/>
      </c>
      <c r="G146" s="224" t="str">
        <f t="shared" si="6"/>
        <v/>
      </c>
      <c r="H146" s="225"/>
      <c r="I146" s="225" t="str">
        <f t="shared" si="7"/>
        <v/>
      </c>
      <c r="J146" s="226" t="str">
        <f t="shared" si="8"/>
        <v/>
      </c>
      <c r="K146" s="227"/>
      <c r="L146" s="228"/>
    </row>
    <row r="147" spans="1:12" x14ac:dyDescent="0.3">
      <c r="A147" s="219"/>
      <c r="B147" s="220"/>
      <c r="C147" s="221"/>
      <c r="D147" s="220"/>
      <c r="E147" s="229"/>
      <c r="F147" s="223" t="str">
        <f>IF(D147="","",기본자료!$K$67)</f>
        <v/>
      </c>
      <c r="G147" s="224" t="str">
        <f t="shared" si="6"/>
        <v/>
      </c>
      <c r="H147" s="225"/>
      <c r="I147" s="225" t="str">
        <f t="shared" si="7"/>
        <v/>
      </c>
      <c r="J147" s="226" t="str">
        <f t="shared" si="8"/>
        <v/>
      </c>
      <c r="K147" s="227"/>
      <c r="L147" s="228"/>
    </row>
    <row r="148" spans="1:12" x14ac:dyDescent="0.3">
      <c r="A148" s="219"/>
      <c r="B148" s="220"/>
      <c r="C148" s="221"/>
      <c r="D148" s="220"/>
      <c r="E148" s="229"/>
      <c r="F148" s="223" t="str">
        <f>IF(D148="","",기본자료!$K$67)</f>
        <v/>
      </c>
      <c r="G148" s="224" t="str">
        <f t="shared" si="6"/>
        <v/>
      </c>
      <c r="H148" s="225"/>
      <c r="I148" s="225" t="str">
        <f t="shared" si="7"/>
        <v/>
      </c>
      <c r="J148" s="226" t="str">
        <f t="shared" si="8"/>
        <v/>
      </c>
      <c r="K148" s="227"/>
      <c r="L148" s="228"/>
    </row>
    <row r="149" spans="1:12" x14ac:dyDescent="0.3">
      <c r="A149" s="219"/>
      <c r="B149" s="220"/>
      <c r="C149" s="221"/>
      <c r="D149" s="220"/>
      <c r="E149" s="229"/>
      <c r="F149" s="223" t="str">
        <f>IF(D149="","",기본자료!$K$67)</f>
        <v/>
      </c>
      <c r="G149" s="224" t="str">
        <f t="shared" si="6"/>
        <v/>
      </c>
      <c r="H149" s="225"/>
      <c r="I149" s="225" t="str">
        <f t="shared" si="7"/>
        <v/>
      </c>
      <c r="J149" s="226" t="str">
        <f t="shared" si="8"/>
        <v/>
      </c>
      <c r="K149" s="227"/>
      <c r="L149" s="228"/>
    </row>
    <row r="150" spans="1:12" x14ac:dyDescent="0.3">
      <c r="A150" s="219"/>
      <c r="B150" s="220"/>
      <c r="C150" s="221"/>
      <c r="D150" s="220"/>
      <c r="E150" s="229"/>
      <c r="F150" s="223" t="str">
        <f>IF(D150="","",기본자료!$K$67)</f>
        <v/>
      </c>
      <c r="G150" s="224" t="str">
        <f t="shared" si="6"/>
        <v/>
      </c>
      <c r="H150" s="225"/>
      <c r="I150" s="225" t="str">
        <f t="shared" si="7"/>
        <v/>
      </c>
      <c r="J150" s="226" t="str">
        <f t="shared" si="8"/>
        <v/>
      </c>
      <c r="K150" s="227"/>
      <c r="L150" s="228"/>
    </row>
    <row r="151" spans="1:12" x14ac:dyDescent="0.3">
      <c r="A151" s="219"/>
      <c r="B151" s="220"/>
      <c r="C151" s="221"/>
      <c r="D151" s="220"/>
      <c r="E151" s="229"/>
      <c r="F151" s="223" t="str">
        <f>IF(D151="","",기본자료!$K$67)</f>
        <v/>
      </c>
      <c r="G151" s="224" t="str">
        <f t="shared" si="6"/>
        <v/>
      </c>
      <c r="H151" s="225"/>
      <c r="I151" s="225" t="str">
        <f t="shared" si="7"/>
        <v/>
      </c>
      <c r="J151" s="226" t="str">
        <f t="shared" si="8"/>
        <v/>
      </c>
      <c r="K151" s="227"/>
      <c r="L151" s="228"/>
    </row>
    <row r="152" spans="1:12" x14ac:dyDescent="0.3">
      <c r="A152" s="219"/>
      <c r="B152" s="220"/>
      <c r="C152" s="221"/>
      <c r="D152" s="220"/>
      <c r="E152" s="229"/>
      <c r="F152" s="223" t="str">
        <f>IF(D152="","",기본자료!$K$67)</f>
        <v/>
      </c>
      <c r="G152" s="224" t="str">
        <f t="shared" si="6"/>
        <v/>
      </c>
      <c r="H152" s="225"/>
      <c r="I152" s="225" t="str">
        <f t="shared" si="7"/>
        <v/>
      </c>
      <c r="J152" s="226" t="str">
        <f t="shared" si="8"/>
        <v/>
      </c>
      <c r="K152" s="227"/>
      <c r="L152" s="228"/>
    </row>
    <row r="153" spans="1:12" x14ac:dyDescent="0.3">
      <c r="A153" s="219"/>
      <c r="B153" s="220"/>
      <c r="C153" s="221"/>
      <c r="D153" s="220"/>
      <c r="E153" s="229"/>
      <c r="F153" s="223" t="str">
        <f>IF(D153="","",기본자료!$K$67)</f>
        <v/>
      </c>
      <c r="G153" s="224" t="str">
        <f t="shared" si="6"/>
        <v/>
      </c>
      <c r="H153" s="225"/>
      <c r="I153" s="225" t="str">
        <f t="shared" si="7"/>
        <v/>
      </c>
      <c r="J153" s="226" t="str">
        <f t="shared" si="8"/>
        <v/>
      </c>
      <c r="K153" s="227"/>
      <c r="L153" s="228"/>
    </row>
    <row r="154" spans="1:12" x14ac:dyDescent="0.3">
      <c r="A154" s="219"/>
      <c r="B154" s="220"/>
      <c r="C154" s="221"/>
      <c r="D154" s="220"/>
      <c r="E154" s="229"/>
      <c r="F154" s="223" t="str">
        <f>IF(D154="","",기본자료!$K$67)</f>
        <v/>
      </c>
      <c r="G154" s="224" t="str">
        <f t="shared" si="6"/>
        <v/>
      </c>
      <c r="H154" s="225"/>
      <c r="I154" s="225" t="str">
        <f t="shared" si="7"/>
        <v/>
      </c>
      <c r="J154" s="226" t="str">
        <f t="shared" si="8"/>
        <v/>
      </c>
      <c r="K154" s="227"/>
      <c r="L154" s="228"/>
    </row>
    <row r="155" spans="1:12" x14ac:dyDescent="0.3">
      <c r="A155" s="219"/>
      <c r="B155" s="220"/>
      <c r="C155" s="221"/>
      <c r="D155" s="220"/>
      <c r="E155" s="229"/>
      <c r="F155" s="223" t="str">
        <f>IF(D155="","",기본자료!$K$67)</f>
        <v/>
      </c>
      <c r="G155" s="224" t="str">
        <f t="shared" si="6"/>
        <v/>
      </c>
      <c r="H155" s="225"/>
      <c r="I155" s="225" t="str">
        <f t="shared" si="7"/>
        <v/>
      </c>
      <c r="J155" s="226" t="str">
        <f t="shared" si="8"/>
        <v/>
      </c>
      <c r="K155" s="227"/>
      <c r="L155" s="228"/>
    </row>
    <row r="156" spans="1:12" x14ac:dyDescent="0.3">
      <c r="A156" s="219"/>
      <c r="B156" s="220"/>
      <c r="C156" s="221"/>
      <c r="D156" s="220"/>
      <c r="E156" s="229"/>
      <c r="F156" s="223" t="str">
        <f>IF(D156="","",기본자료!$K$67)</f>
        <v/>
      </c>
      <c r="G156" s="224" t="str">
        <f t="shared" si="6"/>
        <v/>
      </c>
      <c r="H156" s="225"/>
      <c r="I156" s="225" t="str">
        <f t="shared" si="7"/>
        <v/>
      </c>
      <c r="J156" s="226" t="str">
        <f t="shared" si="8"/>
        <v/>
      </c>
      <c r="K156" s="227"/>
      <c r="L156" s="228"/>
    </row>
    <row r="157" spans="1:12" x14ac:dyDescent="0.3">
      <c r="A157" s="219"/>
      <c r="B157" s="220"/>
      <c r="C157" s="221"/>
      <c r="D157" s="220"/>
      <c r="E157" s="229"/>
      <c r="F157" s="223" t="str">
        <f>IF(D157="","",기본자료!$K$67)</f>
        <v/>
      </c>
      <c r="G157" s="224" t="str">
        <f t="shared" si="6"/>
        <v/>
      </c>
      <c r="H157" s="225"/>
      <c r="I157" s="225" t="str">
        <f t="shared" si="7"/>
        <v/>
      </c>
      <c r="J157" s="226" t="str">
        <f t="shared" si="8"/>
        <v/>
      </c>
      <c r="K157" s="227"/>
      <c r="L157" s="228"/>
    </row>
    <row r="158" spans="1:12" x14ac:dyDescent="0.3">
      <c r="A158" s="219"/>
      <c r="B158" s="220"/>
      <c r="C158" s="221"/>
      <c r="D158" s="220"/>
      <c r="E158" s="229"/>
      <c r="F158" s="223" t="str">
        <f>IF(D158="","",기본자료!$K$67)</f>
        <v/>
      </c>
      <c r="G158" s="224" t="str">
        <f t="shared" si="6"/>
        <v/>
      </c>
      <c r="H158" s="225"/>
      <c r="I158" s="225" t="str">
        <f t="shared" si="7"/>
        <v/>
      </c>
      <c r="J158" s="226" t="str">
        <f t="shared" si="8"/>
        <v/>
      </c>
      <c r="K158" s="227"/>
      <c r="L158" s="228"/>
    </row>
    <row r="159" spans="1:12" x14ac:dyDescent="0.3">
      <c r="A159" s="219"/>
      <c r="B159" s="220"/>
      <c r="C159" s="221"/>
      <c r="D159" s="220"/>
      <c r="E159" s="229"/>
      <c r="F159" s="223" t="str">
        <f>IF(D159="","",기본자료!$K$67)</f>
        <v/>
      </c>
      <c r="G159" s="224" t="str">
        <f t="shared" si="6"/>
        <v/>
      </c>
      <c r="H159" s="225"/>
      <c r="I159" s="225" t="str">
        <f t="shared" si="7"/>
        <v/>
      </c>
      <c r="J159" s="226" t="str">
        <f t="shared" si="8"/>
        <v/>
      </c>
      <c r="K159" s="227"/>
      <c r="L159" s="228"/>
    </row>
    <row r="160" spans="1:12" x14ac:dyDescent="0.3">
      <c r="A160" s="219"/>
      <c r="B160" s="220"/>
      <c r="C160" s="221"/>
      <c r="D160" s="220"/>
      <c r="E160" s="229"/>
      <c r="F160" s="223" t="str">
        <f>IF(D160="","",기본자료!$K$67)</f>
        <v/>
      </c>
      <c r="G160" s="224" t="str">
        <f t="shared" si="6"/>
        <v/>
      </c>
      <c r="H160" s="225"/>
      <c r="I160" s="225" t="str">
        <f t="shared" si="7"/>
        <v/>
      </c>
      <c r="J160" s="226" t="str">
        <f t="shared" si="8"/>
        <v/>
      </c>
      <c r="K160" s="227"/>
      <c r="L160" s="228"/>
    </row>
    <row r="161" spans="1:12" x14ac:dyDescent="0.3">
      <c r="A161" s="219"/>
      <c r="B161" s="220"/>
      <c r="C161" s="221"/>
      <c r="D161" s="220"/>
      <c r="E161" s="229"/>
      <c r="F161" s="223" t="str">
        <f>IF(D161="","",기본자료!$K$67)</f>
        <v/>
      </c>
      <c r="G161" s="224" t="str">
        <f t="shared" si="6"/>
        <v/>
      </c>
      <c r="H161" s="225"/>
      <c r="I161" s="225" t="str">
        <f t="shared" si="7"/>
        <v/>
      </c>
      <c r="J161" s="226" t="str">
        <f t="shared" si="8"/>
        <v/>
      </c>
      <c r="K161" s="227"/>
      <c r="L161" s="228"/>
    </row>
    <row r="162" spans="1:12" x14ac:dyDescent="0.3">
      <c r="A162" s="219"/>
      <c r="B162" s="220"/>
      <c r="C162" s="221"/>
      <c r="D162" s="220"/>
      <c r="E162" s="229"/>
      <c r="F162" s="223" t="str">
        <f>IF(D162="","",기본자료!$K$67)</f>
        <v/>
      </c>
      <c r="G162" s="224" t="str">
        <f t="shared" si="6"/>
        <v/>
      </c>
      <c r="H162" s="225"/>
      <c r="I162" s="225" t="str">
        <f t="shared" si="7"/>
        <v/>
      </c>
      <c r="J162" s="226" t="str">
        <f t="shared" si="8"/>
        <v/>
      </c>
      <c r="K162" s="227"/>
      <c r="L162" s="228"/>
    </row>
    <row r="163" spans="1:12" x14ac:dyDescent="0.3">
      <c r="A163" s="219"/>
      <c r="B163" s="220"/>
      <c r="C163" s="221"/>
      <c r="D163" s="220"/>
      <c r="E163" s="229"/>
      <c r="F163" s="223" t="str">
        <f>IF(D163="","",기본자료!$K$67)</f>
        <v/>
      </c>
      <c r="G163" s="224" t="str">
        <f t="shared" si="6"/>
        <v/>
      </c>
      <c r="H163" s="225"/>
      <c r="I163" s="225" t="str">
        <f t="shared" si="7"/>
        <v/>
      </c>
      <c r="J163" s="226" t="str">
        <f t="shared" si="8"/>
        <v/>
      </c>
      <c r="K163" s="227"/>
      <c r="L163" s="228"/>
    </row>
    <row r="164" spans="1:12" x14ac:dyDescent="0.3">
      <c r="A164" s="219"/>
      <c r="B164" s="220"/>
      <c r="C164" s="221"/>
      <c r="D164" s="220"/>
      <c r="E164" s="229"/>
      <c r="F164" s="223" t="str">
        <f>IF(D164="","",기본자료!$K$67)</f>
        <v/>
      </c>
      <c r="G164" s="224" t="str">
        <f t="shared" si="6"/>
        <v/>
      </c>
      <c r="H164" s="225"/>
      <c r="I164" s="225" t="str">
        <f t="shared" si="7"/>
        <v/>
      </c>
      <c r="J164" s="226" t="str">
        <f t="shared" si="8"/>
        <v/>
      </c>
      <c r="K164" s="227"/>
      <c r="L164" s="228"/>
    </row>
    <row r="165" spans="1:12" x14ac:dyDescent="0.3">
      <c r="A165" s="219"/>
      <c r="B165" s="220"/>
      <c r="C165" s="221"/>
      <c r="D165" s="220"/>
      <c r="E165" s="229"/>
      <c r="F165" s="223" t="str">
        <f>IF(D165="","",기본자료!$K$67)</f>
        <v/>
      </c>
      <c r="G165" s="224" t="str">
        <f t="shared" si="6"/>
        <v/>
      </c>
      <c r="H165" s="225"/>
      <c r="I165" s="225" t="str">
        <f t="shared" si="7"/>
        <v/>
      </c>
      <c r="J165" s="226" t="str">
        <f t="shared" si="8"/>
        <v/>
      </c>
      <c r="K165" s="227"/>
      <c r="L165" s="228"/>
    </row>
    <row r="166" spans="1:12" x14ac:dyDescent="0.3">
      <c r="A166" s="219"/>
      <c r="B166" s="220"/>
      <c r="C166" s="221"/>
      <c r="D166" s="220"/>
      <c r="E166" s="229"/>
      <c r="F166" s="223" t="str">
        <f>IF(D166="","",기본자료!$K$67)</f>
        <v/>
      </c>
      <c r="G166" s="224" t="str">
        <f t="shared" si="6"/>
        <v/>
      </c>
      <c r="H166" s="225"/>
      <c r="I166" s="225" t="str">
        <f t="shared" si="7"/>
        <v/>
      </c>
      <c r="J166" s="226" t="str">
        <f t="shared" si="8"/>
        <v/>
      </c>
      <c r="K166" s="227"/>
      <c r="L166" s="228"/>
    </row>
    <row r="167" spans="1:12" x14ac:dyDescent="0.3">
      <c r="A167" s="219"/>
      <c r="B167" s="220"/>
      <c r="C167" s="221"/>
      <c r="D167" s="220"/>
      <c r="E167" s="229"/>
      <c r="F167" s="223" t="str">
        <f>IF(D167="","",기본자료!$K$67)</f>
        <v/>
      </c>
      <c r="G167" s="224" t="str">
        <f t="shared" si="6"/>
        <v/>
      </c>
      <c r="H167" s="225"/>
      <c r="I167" s="225" t="str">
        <f t="shared" si="7"/>
        <v/>
      </c>
      <c r="J167" s="226" t="str">
        <f t="shared" si="8"/>
        <v/>
      </c>
      <c r="K167" s="227"/>
      <c r="L167" s="228"/>
    </row>
    <row r="168" spans="1:12" x14ac:dyDescent="0.3">
      <c r="A168" s="219"/>
      <c r="B168" s="220"/>
      <c r="C168" s="221"/>
      <c r="D168" s="220"/>
      <c r="E168" s="229"/>
      <c r="F168" s="223" t="str">
        <f>IF(D168="","",기본자료!$K$67)</f>
        <v/>
      </c>
      <c r="G168" s="224" t="str">
        <f t="shared" si="6"/>
        <v/>
      </c>
      <c r="H168" s="225"/>
      <c r="I168" s="225" t="str">
        <f t="shared" si="7"/>
        <v/>
      </c>
      <c r="J168" s="226" t="str">
        <f t="shared" si="8"/>
        <v/>
      </c>
      <c r="K168" s="227"/>
      <c r="L168" s="228"/>
    </row>
    <row r="169" spans="1:12" x14ac:dyDescent="0.3">
      <c r="A169" s="219"/>
      <c r="B169" s="220"/>
      <c r="C169" s="221"/>
      <c r="D169" s="220"/>
      <c r="E169" s="229"/>
      <c r="F169" s="223" t="str">
        <f>IF(D169="","",기본자료!$K$67)</f>
        <v/>
      </c>
      <c r="G169" s="224" t="str">
        <f t="shared" si="6"/>
        <v/>
      </c>
      <c r="H169" s="225"/>
      <c r="I169" s="225" t="str">
        <f t="shared" si="7"/>
        <v/>
      </c>
      <c r="J169" s="226" t="str">
        <f t="shared" si="8"/>
        <v/>
      </c>
      <c r="K169" s="227"/>
      <c r="L169" s="228"/>
    </row>
    <row r="170" spans="1:12" x14ac:dyDescent="0.3">
      <c r="A170" s="219"/>
      <c r="B170" s="220"/>
      <c r="C170" s="221"/>
      <c r="D170" s="220"/>
      <c r="E170" s="229"/>
      <c r="F170" s="223" t="str">
        <f>IF(D170="","",기본자료!$K$67)</f>
        <v/>
      </c>
      <c r="G170" s="224" t="str">
        <f t="shared" si="6"/>
        <v/>
      </c>
      <c r="H170" s="225"/>
      <c r="I170" s="225" t="str">
        <f t="shared" si="7"/>
        <v/>
      </c>
      <c r="J170" s="226" t="str">
        <f t="shared" si="8"/>
        <v/>
      </c>
      <c r="K170" s="227"/>
      <c r="L170" s="228"/>
    </row>
    <row r="171" spans="1:12" x14ac:dyDescent="0.3">
      <c r="A171" s="219"/>
      <c r="B171" s="220"/>
      <c r="C171" s="221"/>
      <c r="D171" s="220"/>
      <c r="E171" s="229"/>
      <c r="F171" s="223" t="str">
        <f>IF(D171="","",기본자료!$K$67)</f>
        <v/>
      </c>
      <c r="G171" s="224" t="str">
        <f t="shared" si="6"/>
        <v/>
      </c>
      <c r="H171" s="225"/>
      <c r="I171" s="225" t="str">
        <f t="shared" si="7"/>
        <v/>
      </c>
      <c r="J171" s="226" t="str">
        <f t="shared" si="8"/>
        <v/>
      </c>
      <c r="K171" s="227"/>
      <c r="L171" s="228"/>
    </row>
    <row r="172" spans="1:12" x14ac:dyDescent="0.3">
      <c r="A172" s="219"/>
      <c r="B172" s="220"/>
      <c r="C172" s="221"/>
      <c r="D172" s="220"/>
      <c r="E172" s="229"/>
      <c r="F172" s="223" t="str">
        <f>IF(D172="","",기본자료!$K$67)</f>
        <v/>
      </c>
      <c r="G172" s="224" t="str">
        <f t="shared" si="6"/>
        <v/>
      </c>
      <c r="H172" s="225"/>
      <c r="I172" s="225" t="str">
        <f t="shared" si="7"/>
        <v/>
      </c>
      <c r="J172" s="226" t="str">
        <f t="shared" si="8"/>
        <v/>
      </c>
      <c r="K172" s="227"/>
      <c r="L172" s="228"/>
    </row>
    <row r="173" spans="1:12" x14ac:dyDescent="0.3">
      <c r="A173" s="219"/>
      <c r="B173" s="220"/>
      <c r="C173" s="221"/>
      <c r="D173" s="220"/>
      <c r="E173" s="229"/>
      <c r="F173" s="223" t="str">
        <f>IF(D173="","",기본자료!$K$67)</f>
        <v/>
      </c>
      <c r="G173" s="224" t="str">
        <f t="shared" si="6"/>
        <v/>
      </c>
      <c r="H173" s="225"/>
      <c r="I173" s="225" t="str">
        <f t="shared" si="7"/>
        <v/>
      </c>
      <c r="J173" s="226" t="str">
        <f t="shared" si="8"/>
        <v/>
      </c>
      <c r="K173" s="227"/>
      <c r="L173" s="228"/>
    </row>
    <row r="174" spans="1:12" x14ac:dyDescent="0.3">
      <c r="A174" s="219"/>
      <c r="B174" s="220"/>
      <c r="C174" s="221"/>
      <c r="D174" s="220"/>
      <c r="E174" s="229"/>
      <c r="F174" s="223" t="str">
        <f>IF(D174="","",기본자료!$K$67)</f>
        <v/>
      </c>
      <c r="G174" s="224" t="str">
        <f t="shared" si="6"/>
        <v/>
      </c>
      <c r="H174" s="225"/>
      <c r="I174" s="225" t="str">
        <f t="shared" si="7"/>
        <v/>
      </c>
      <c r="J174" s="226" t="str">
        <f t="shared" si="8"/>
        <v/>
      </c>
      <c r="K174" s="227"/>
      <c r="L174" s="228"/>
    </row>
    <row r="175" spans="1:12" x14ac:dyDescent="0.3">
      <c r="A175" s="219"/>
      <c r="B175" s="220"/>
      <c r="C175" s="221"/>
      <c r="D175" s="220"/>
      <c r="E175" s="229"/>
      <c r="F175" s="223" t="str">
        <f>IF(D175="","",기본자료!$K$67)</f>
        <v/>
      </c>
      <c r="G175" s="224" t="str">
        <f t="shared" si="6"/>
        <v/>
      </c>
      <c r="H175" s="225"/>
      <c r="I175" s="225" t="str">
        <f t="shared" si="7"/>
        <v/>
      </c>
      <c r="J175" s="226" t="str">
        <f t="shared" si="8"/>
        <v/>
      </c>
      <c r="K175" s="227"/>
      <c r="L175" s="228"/>
    </row>
    <row r="176" spans="1:12" x14ac:dyDescent="0.3">
      <c r="A176" s="219"/>
      <c r="B176" s="220"/>
      <c r="C176" s="221"/>
      <c r="D176" s="220"/>
      <c r="E176" s="229"/>
      <c r="F176" s="223" t="str">
        <f>IF(D176="","",기본자료!$K$67)</f>
        <v/>
      </c>
      <c r="G176" s="224" t="str">
        <f t="shared" si="6"/>
        <v/>
      </c>
      <c r="H176" s="225"/>
      <c r="I176" s="225" t="str">
        <f t="shared" si="7"/>
        <v/>
      </c>
      <c r="J176" s="226" t="str">
        <f t="shared" si="8"/>
        <v/>
      </c>
      <c r="K176" s="227"/>
      <c r="L176" s="228"/>
    </row>
    <row r="177" spans="1:12" x14ac:dyDescent="0.3">
      <c r="A177" s="219"/>
      <c r="B177" s="220"/>
      <c r="C177" s="221"/>
      <c r="D177" s="220"/>
      <c r="E177" s="229"/>
      <c r="F177" s="223" t="str">
        <f>IF(D177="","",기본자료!$K$67)</f>
        <v/>
      </c>
      <c r="G177" s="224" t="str">
        <f t="shared" si="6"/>
        <v/>
      </c>
      <c r="H177" s="225"/>
      <c r="I177" s="225" t="str">
        <f t="shared" si="7"/>
        <v/>
      </c>
      <c r="J177" s="226" t="str">
        <f t="shared" si="8"/>
        <v/>
      </c>
      <c r="K177" s="227"/>
      <c r="L177" s="228"/>
    </row>
    <row r="178" spans="1:12" x14ac:dyDescent="0.3">
      <c r="A178" s="219"/>
      <c r="B178" s="220"/>
      <c r="C178" s="221"/>
      <c r="D178" s="220"/>
      <c r="E178" s="229"/>
      <c r="F178" s="223" t="str">
        <f>IF(D178="","",기본자료!$K$67)</f>
        <v/>
      </c>
      <c r="G178" s="224" t="str">
        <f t="shared" si="6"/>
        <v/>
      </c>
      <c r="H178" s="225"/>
      <c r="I178" s="225" t="str">
        <f t="shared" si="7"/>
        <v/>
      </c>
      <c r="J178" s="226" t="str">
        <f t="shared" si="8"/>
        <v/>
      </c>
      <c r="K178" s="227"/>
      <c r="L178" s="228"/>
    </row>
    <row r="179" spans="1:12" x14ac:dyDescent="0.3">
      <c r="A179" s="219"/>
      <c r="B179" s="220"/>
      <c r="C179" s="221"/>
      <c r="D179" s="220"/>
      <c r="E179" s="229"/>
      <c r="F179" s="223" t="str">
        <f>IF(D179="","",기본자료!$K$67)</f>
        <v/>
      </c>
      <c r="G179" s="224" t="str">
        <f t="shared" si="6"/>
        <v/>
      </c>
      <c r="H179" s="225"/>
      <c r="I179" s="225" t="str">
        <f t="shared" si="7"/>
        <v/>
      </c>
      <c r="J179" s="226" t="str">
        <f t="shared" si="8"/>
        <v/>
      </c>
      <c r="K179" s="227"/>
      <c r="L179" s="228"/>
    </row>
    <row r="180" spans="1:12" x14ac:dyDescent="0.3">
      <c r="A180" s="219"/>
      <c r="B180" s="220"/>
      <c r="C180" s="221"/>
      <c r="D180" s="220"/>
      <c r="E180" s="229"/>
      <c r="F180" s="223" t="str">
        <f>IF(D180="","",기본자료!$K$67)</f>
        <v/>
      </c>
      <c r="G180" s="224" t="str">
        <f t="shared" si="6"/>
        <v/>
      </c>
      <c r="H180" s="225"/>
      <c r="I180" s="225" t="str">
        <f t="shared" si="7"/>
        <v/>
      </c>
      <c r="J180" s="226" t="str">
        <f t="shared" si="8"/>
        <v/>
      </c>
      <c r="K180" s="227"/>
      <c r="L180" s="228"/>
    </row>
    <row r="181" spans="1:12" x14ac:dyDescent="0.3">
      <c r="A181" s="219"/>
      <c r="B181" s="220"/>
      <c r="C181" s="221"/>
      <c r="D181" s="220"/>
      <c r="E181" s="229"/>
      <c r="F181" s="223" t="str">
        <f>IF(D181="","",기본자료!$K$67)</f>
        <v/>
      </c>
      <c r="G181" s="224" t="str">
        <f t="shared" si="6"/>
        <v/>
      </c>
      <c r="H181" s="225"/>
      <c r="I181" s="225" t="str">
        <f t="shared" si="7"/>
        <v/>
      </c>
      <c r="J181" s="226" t="str">
        <f t="shared" si="8"/>
        <v/>
      </c>
      <c r="K181" s="227"/>
      <c r="L181" s="228"/>
    </row>
    <row r="182" spans="1:12" x14ac:dyDescent="0.3">
      <c r="A182" s="219"/>
      <c r="B182" s="220"/>
      <c r="C182" s="221"/>
      <c r="D182" s="220"/>
      <c r="E182" s="229"/>
      <c r="F182" s="223" t="str">
        <f>IF(D182="","",기본자료!$K$67)</f>
        <v/>
      </c>
      <c r="G182" s="224" t="str">
        <f t="shared" si="6"/>
        <v/>
      </c>
      <c r="H182" s="225"/>
      <c r="I182" s="225" t="str">
        <f t="shared" si="7"/>
        <v/>
      </c>
      <c r="J182" s="226" t="str">
        <f t="shared" si="8"/>
        <v/>
      </c>
      <c r="K182" s="227"/>
      <c r="L182" s="228"/>
    </row>
    <row r="183" spans="1:12" x14ac:dyDescent="0.3">
      <c r="A183" s="219"/>
      <c r="B183" s="220"/>
      <c r="C183" s="221"/>
      <c r="D183" s="220"/>
      <c r="E183" s="229"/>
      <c r="F183" s="223" t="str">
        <f>IF(D183="","",기본자료!$K$67)</f>
        <v/>
      </c>
      <c r="G183" s="224" t="str">
        <f t="shared" si="6"/>
        <v/>
      </c>
      <c r="H183" s="225"/>
      <c r="I183" s="225" t="str">
        <f t="shared" si="7"/>
        <v/>
      </c>
      <c r="J183" s="226" t="str">
        <f t="shared" si="8"/>
        <v/>
      </c>
      <c r="K183" s="227"/>
      <c r="L183" s="228"/>
    </row>
    <row r="184" spans="1:12" x14ac:dyDescent="0.3">
      <c r="A184" s="219"/>
      <c r="B184" s="220"/>
      <c r="C184" s="221"/>
      <c r="D184" s="220"/>
      <c r="E184" s="229"/>
      <c r="F184" s="223" t="str">
        <f>IF(D184="","",기본자료!$K$67)</f>
        <v/>
      </c>
      <c r="G184" s="224" t="str">
        <f t="shared" si="6"/>
        <v/>
      </c>
      <c r="H184" s="225"/>
      <c r="I184" s="225" t="str">
        <f t="shared" si="7"/>
        <v/>
      </c>
      <c r="J184" s="226" t="str">
        <f t="shared" si="8"/>
        <v/>
      </c>
      <c r="K184" s="227"/>
      <c r="L184" s="228"/>
    </row>
    <row r="185" spans="1:12" x14ac:dyDescent="0.3">
      <c r="A185" s="219"/>
      <c r="B185" s="220"/>
      <c r="C185" s="221"/>
      <c r="D185" s="220"/>
      <c r="E185" s="229"/>
      <c r="F185" s="223" t="str">
        <f>IF(D185="","",기본자료!$K$67)</f>
        <v/>
      </c>
      <c r="G185" s="224" t="str">
        <f t="shared" si="6"/>
        <v/>
      </c>
      <c r="H185" s="225"/>
      <c r="I185" s="225" t="str">
        <f t="shared" si="7"/>
        <v/>
      </c>
      <c r="J185" s="226" t="str">
        <f t="shared" si="8"/>
        <v/>
      </c>
      <c r="K185" s="227"/>
      <c r="L185" s="228"/>
    </row>
    <row r="186" spans="1:12" x14ac:dyDescent="0.3">
      <c r="A186" s="219"/>
      <c r="B186" s="220"/>
      <c r="C186" s="221"/>
      <c r="D186" s="220"/>
      <c r="E186" s="229"/>
      <c r="F186" s="223" t="str">
        <f>IF(D186="","",기본자료!$K$67)</f>
        <v/>
      </c>
      <c r="G186" s="224" t="str">
        <f t="shared" si="6"/>
        <v/>
      </c>
      <c r="H186" s="225"/>
      <c r="I186" s="225" t="str">
        <f t="shared" si="7"/>
        <v/>
      </c>
      <c r="J186" s="226" t="str">
        <f t="shared" si="8"/>
        <v/>
      </c>
      <c r="K186" s="227"/>
      <c r="L186" s="228"/>
    </row>
    <row r="187" spans="1:12" x14ac:dyDescent="0.3">
      <c r="A187" s="219"/>
      <c r="B187" s="220"/>
      <c r="C187" s="221"/>
      <c r="D187" s="220"/>
      <c r="E187" s="229"/>
      <c r="F187" s="223" t="str">
        <f>IF(D187="","",기본자료!$K$67)</f>
        <v/>
      </c>
      <c r="G187" s="224" t="str">
        <f t="shared" si="6"/>
        <v/>
      </c>
      <c r="H187" s="225"/>
      <c r="I187" s="225" t="str">
        <f t="shared" si="7"/>
        <v/>
      </c>
      <c r="J187" s="226" t="str">
        <f t="shared" si="8"/>
        <v/>
      </c>
      <c r="K187" s="227"/>
      <c r="L187" s="228"/>
    </row>
    <row r="188" spans="1:12" x14ac:dyDescent="0.3">
      <c r="A188" s="219"/>
      <c r="B188" s="220"/>
      <c r="C188" s="221"/>
      <c r="D188" s="220"/>
      <c r="E188" s="229"/>
      <c r="F188" s="223" t="str">
        <f>IF(D188="","",기본자료!$K$67)</f>
        <v/>
      </c>
      <c r="G188" s="224" t="str">
        <f t="shared" si="6"/>
        <v/>
      </c>
      <c r="H188" s="225"/>
      <c r="I188" s="225" t="str">
        <f t="shared" si="7"/>
        <v/>
      </c>
      <c r="J188" s="226" t="str">
        <f t="shared" si="8"/>
        <v/>
      </c>
      <c r="K188" s="227"/>
      <c r="L188" s="228"/>
    </row>
    <row r="189" spans="1:12" x14ac:dyDescent="0.3">
      <c r="A189" s="219"/>
      <c r="B189" s="220"/>
      <c r="C189" s="221"/>
      <c r="D189" s="220"/>
      <c r="E189" s="229"/>
      <c r="F189" s="223" t="str">
        <f>IF(D189="","",기본자료!$K$67)</f>
        <v/>
      </c>
      <c r="G189" s="224" t="str">
        <f t="shared" si="6"/>
        <v/>
      </c>
      <c r="H189" s="225"/>
      <c r="I189" s="225" t="str">
        <f t="shared" si="7"/>
        <v/>
      </c>
      <c r="J189" s="226" t="str">
        <f t="shared" si="8"/>
        <v/>
      </c>
      <c r="K189" s="227"/>
      <c r="L189" s="228"/>
    </row>
    <row r="190" spans="1:12" x14ac:dyDescent="0.3">
      <c r="A190" s="219"/>
      <c r="B190" s="220"/>
      <c r="C190" s="221"/>
      <c r="D190" s="220"/>
      <c r="E190" s="229"/>
      <c r="F190" s="223" t="str">
        <f>IF(D190="","",기본자료!$K$67)</f>
        <v/>
      </c>
      <c r="G190" s="224" t="str">
        <f t="shared" si="6"/>
        <v/>
      </c>
      <c r="H190" s="225"/>
      <c r="I190" s="225" t="str">
        <f t="shared" si="7"/>
        <v/>
      </c>
      <c r="J190" s="226" t="str">
        <f t="shared" si="8"/>
        <v/>
      </c>
      <c r="K190" s="227"/>
      <c r="L190" s="228"/>
    </row>
    <row r="191" spans="1:12" x14ac:dyDescent="0.3">
      <c r="A191" s="219"/>
      <c r="B191" s="220"/>
      <c r="C191" s="221"/>
      <c r="D191" s="220"/>
      <c r="E191" s="229"/>
      <c r="F191" s="223" t="str">
        <f>IF(D191="","",기본자료!$K$67)</f>
        <v/>
      </c>
      <c r="G191" s="224" t="str">
        <f t="shared" si="6"/>
        <v/>
      </c>
      <c r="H191" s="225"/>
      <c r="I191" s="225" t="str">
        <f t="shared" si="7"/>
        <v/>
      </c>
      <c r="J191" s="226" t="str">
        <f t="shared" si="8"/>
        <v/>
      </c>
      <c r="K191" s="227"/>
      <c r="L191" s="228"/>
    </row>
    <row r="192" spans="1:12" x14ac:dyDescent="0.3">
      <c r="A192" s="219"/>
      <c r="B192" s="220"/>
      <c r="C192" s="221"/>
      <c r="D192" s="220"/>
      <c r="E192" s="229"/>
      <c r="F192" s="223" t="str">
        <f>IF(D192="","",기본자료!$K$67)</f>
        <v/>
      </c>
      <c r="G192" s="224" t="str">
        <f t="shared" si="6"/>
        <v/>
      </c>
      <c r="H192" s="225"/>
      <c r="I192" s="225" t="str">
        <f t="shared" si="7"/>
        <v/>
      </c>
      <c r="J192" s="226" t="str">
        <f t="shared" si="8"/>
        <v/>
      </c>
      <c r="K192" s="227"/>
      <c r="L192" s="228"/>
    </row>
    <row r="193" spans="1:12" x14ac:dyDescent="0.3">
      <c r="A193" s="219"/>
      <c r="B193" s="220"/>
      <c r="C193" s="221"/>
      <c r="D193" s="220"/>
      <c r="E193" s="229"/>
      <c r="F193" s="223" t="str">
        <f>IF(D193="","",기본자료!$K$67)</f>
        <v/>
      </c>
      <c r="G193" s="224" t="str">
        <f t="shared" si="6"/>
        <v/>
      </c>
      <c r="H193" s="225"/>
      <c r="I193" s="225" t="str">
        <f t="shared" si="7"/>
        <v/>
      </c>
      <c r="J193" s="226" t="str">
        <f t="shared" si="8"/>
        <v/>
      </c>
      <c r="K193" s="227"/>
      <c r="L193" s="228"/>
    </row>
    <row r="194" spans="1:12" x14ac:dyDescent="0.3">
      <c r="A194" s="219"/>
      <c r="B194" s="220"/>
      <c r="C194" s="221"/>
      <c r="D194" s="220"/>
      <c r="E194" s="229"/>
      <c r="F194" s="223" t="str">
        <f>IF(D194="","",기본자료!$K$67)</f>
        <v/>
      </c>
      <c r="G194" s="224" t="str">
        <f t="shared" si="6"/>
        <v/>
      </c>
      <c r="H194" s="225"/>
      <c r="I194" s="225" t="str">
        <f t="shared" si="7"/>
        <v/>
      </c>
      <c r="J194" s="226" t="str">
        <f t="shared" si="8"/>
        <v/>
      </c>
      <c r="K194" s="227"/>
      <c r="L194" s="228"/>
    </row>
    <row r="195" spans="1:12" x14ac:dyDescent="0.3">
      <c r="A195" s="219"/>
      <c r="B195" s="220"/>
      <c r="C195" s="221"/>
      <c r="D195" s="220"/>
      <c r="E195" s="229"/>
      <c r="F195" s="223" t="str">
        <f>IF(D195="","",기본자료!$K$67)</f>
        <v/>
      </c>
      <c r="G195" s="224" t="str">
        <f t="shared" si="6"/>
        <v/>
      </c>
      <c r="H195" s="225"/>
      <c r="I195" s="225" t="str">
        <f t="shared" si="7"/>
        <v/>
      </c>
      <c r="J195" s="226" t="str">
        <f t="shared" si="8"/>
        <v/>
      </c>
      <c r="K195" s="227"/>
      <c r="L195" s="228"/>
    </row>
    <row r="196" spans="1:12" x14ac:dyDescent="0.3">
      <c r="A196" s="219"/>
      <c r="B196" s="220"/>
      <c r="C196" s="221"/>
      <c r="D196" s="220"/>
      <c r="E196" s="229"/>
      <c r="F196" s="223" t="str">
        <f>IF(D196="","",기본자료!$K$67)</f>
        <v/>
      </c>
      <c r="G196" s="224" t="str">
        <f t="shared" si="6"/>
        <v/>
      </c>
      <c r="H196" s="225"/>
      <c r="I196" s="225" t="str">
        <f t="shared" si="7"/>
        <v/>
      </c>
      <c r="J196" s="226" t="str">
        <f t="shared" si="8"/>
        <v/>
      </c>
      <c r="K196" s="227"/>
      <c r="L196" s="228"/>
    </row>
    <row r="197" spans="1:12" x14ac:dyDescent="0.3">
      <c r="A197" s="219"/>
      <c r="B197" s="220"/>
      <c r="C197" s="221"/>
      <c r="D197" s="220"/>
      <c r="E197" s="229"/>
      <c r="F197" s="223" t="str">
        <f>IF(D197="","",기본자료!$K$67)</f>
        <v/>
      </c>
      <c r="G197" s="224" t="str">
        <f t="shared" si="6"/>
        <v/>
      </c>
      <c r="H197" s="225"/>
      <c r="I197" s="225" t="str">
        <f t="shared" si="7"/>
        <v/>
      </c>
      <c r="J197" s="226" t="str">
        <f t="shared" si="8"/>
        <v/>
      </c>
      <c r="K197" s="227"/>
      <c r="L197" s="228"/>
    </row>
    <row r="198" spans="1:12" x14ac:dyDescent="0.3">
      <c r="A198" s="219"/>
      <c r="B198" s="220"/>
      <c r="C198" s="221"/>
      <c r="D198" s="220"/>
      <c r="E198" s="229"/>
      <c r="F198" s="223" t="str">
        <f>IF(D198="","",기본자료!$K$67)</f>
        <v/>
      </c>
      <c r="G198" s="224" t="str">
        <f t="shared" si="6"/>
        <v/>
      </c>
      <c r="H198" s="225"/>
      <c r="I198" s="225" t="str">
        <f t="shared" si="7"/>
        <v/>
      </c>
      <c r="J198" s="226" t="str">
        <f t="shared" si="8"/>
        <v/>
      </c>
      <c r="K198" s="227"/>
      <c r="L198" s="228"/>
    </row>
    <row r="199" spans="1:12" x14ac:dyDescent="0.3">
      <c r="A199" s="219"/>
      <c r="B199" s="220"/>
      <c r="C199" s="221"/>
      <c r="D199" s="220"/>
      <c r="E199" s="229"/>
      <c r="F199" s="223" t="str">
        <f>IF(D199="","",기본자료!$K$67)</f>
        <v/>
      </c>
      <c r="G199" s="224" t="str">
        <f t="shared" si="6"/>
        <v/>
      </c>
      <c r="H199" s="225"/>
      <c r="I199" s="225" t="str">
        <f t="shared" si="7"/>
        <v/>
      </c>
      <c r="J199" s="226" t="str">
        <f t="shared" si="8"/>
        <v/>
      </c>
      <c r="K199" s="227"/>
      <c r="L199" s="228"/>
    </row>
    <row r="200" spans="1:12" x14ac:dyDescent="0.3">
      <c r="A200" s="219"/>
      <c r="B200" s="220"/>
      <c r="C200" s="221"/>
      <c r="D200" s="220"/>
      <c r="E200" s="229"/>
      <c r="F200" s="223" t="str">
        <f>IF(D200="","",기본자료!$K$67)</f>
        <v/>
      </c>
      <c r="G200" s="224" t="str">
        <f t="shared" si="6"/>
        <v/>
      </c>
      <c r="H200" s="225"/>
      <c r="I200" s="225" t="str">
        <f t="shared" si="7"/>
        <v/>
      </c>
      <c r="J200" s="226" t="str">
        <f t="shared" si="8"/>
        <v/>
      </c>
      <c r="K200" s="227"/>
      <c r="L200" s="228"/>
    </row>
    <row r="201" spans="1:12" x14ac:dyDescent="0.3">
      <c r="A201" s="219"/>
      <c r="B201" s="220"/>
      <c r="C201" s="221"/>
      <c r="D201" s="220"/>
      <c r="E201" s="229"/>
      <c r="F201" s="223" t="str">
        <f>IF(D201="","",기본자료!$K$67)</f>
        <v/>
      </c>
      <c r="G201" s="224" t="str">
        <f t="shared" si="6"/>
        <v/>
      </c>
      <c r="H201" s="225"/>
      <c r="I201" s="225" t="str">
        <f t="shared" si="7"/>
        <v/>
      </c>
      <c r="J201" s="226" t="str">
        <f t="shared" si="8"/>
        <v/>
      </c>
      <c r="K201" s="227"/>
      <c r="L201" s="228"/>
    </row>
    <row r="202" spans="1:12" x14ac:dyDescent="0.3">
      <c r="A202" s="219"/>
      <c r="B202" s="220"/>
      <c r="C202" s="221"/>
      <c r="D202" s="220"/>
      <c r="E202" s="229"/>
      <c r="F202" s="223" t="str">
        <f>IF(D202="","",기본자료!$K$67)</f>
        <v/>
      </c>
      <c r="G202" s="224" t="str">
        <f t="shared" si="6"/>
        <v/>
      </c>
      <c r="H202" s="225"/>
      <c r="I202" s="225" t="str">
        <f t="shared" si="7"/>
        <v/>
      </c>
      <c r="J202" s="226" t="str">
        <f t="shared" si="8"/>
        <v/>
      </c>
      <c r="K202" s="227"/>
      <c r="L202" s="228"/>
    </row>
    <row r="203" spans="1:12" x14ac:dyDescent="0.3">
      <c r="A203" s="219"/>
      <c r="B203" s="220"/>
      <c r="C203" s="221"/>
      <c r="D203" s="220"/>
      <c r="E203" s="229"/>
      <c r="F203" s="223" t="str">
        <f>IF(D203="","",기본자료!$K$67)</f>
        <v/>
      </c>
      <c r="G203" s="224" t="str">
        <f t="shared" ref="G203:G257" si="9">IF(E203="","",E203*F203)</f>
        <v/>
      </c>
      <c r="H203" s="225"/>
      <c r="I203" s="225" t="str">
        <f t="shared" ref="I203:I257" si="10">IF(E203="","",G203+H203)</f>
        <v/>
      </c>
      <c r="J203" s="226" t="str">
        <f t="shared" ref="J203:J257" si="11">IF(E203="","",E203-I203)</f>
        <v/>
      </c>
      <c r="K203" s="227"/>
      <c r="L203" s="228"/>
    </row>
    <row r="204" spans="1:12" x14ac:dyDescent="0.3">
      <c r="A204" s="219"/>
      <c r="B204" s="220"/>
      <c r="C204" s="221"/>
      <c r="D204" s="220"/>
      <c r="E204" s="229"/>
      <c r="F204" s="223" t="str">
        <f>IF(D204="","",기본자료!$K$67)</f>
        <v/>
      </c>
      <c r="G204" s="224" t="str">
        <f t="shared" si="9"/>
        <v/>
      </c>
      <c r="H204" s="225"/>
      <c r="I204" s="225" t="str">
        <f t="shared" si="10"/>
        <v/>
      </c>
      <c r="J204" s="226" t="str">
        <f t="shared" si="11"/>
        <v/>
      </c>
      <c r="K204" s="227"/>
      <c r="L204" s="228"/>
    </row>
    <row r="205" spans="1:12" x14ac:dyDescent="0.3">
      <c r="A205" s="219"/>
      <c r="B205" s="220"/>
      <c r="C205" s="221"/>
      <c r="D205" s="220"/>
      <c r="E205" s="229"/>
      <c r="F205" s="223" t="str">
        <f>IF(D205="","",기본자료!$K$67)</f>
        <v/>
      </c>
      <c r="G205" s="224" t="str">
        <f t="shared" si="9"/>
        <v/>
      </c>
      <c r="H205" s="225"/>
      <c r="I205" s="225" t="str">
        <f t="shared" si="10"/>
        <v/>
      </c>
      <c r="J205" s="226" t="str">
        <f t="shared" si="11"/>
        <v/>
      </c>
      <c r="K205" s="227"/>
      <c r="L205" s="228"/>
    </row>
    <row r="206" spans="1:12" x14ac:dyDescent="0.3">
      <c r="A206" s="219"/>
      <c r="B206" s="220"/>
      <c r="C206" s="221"/>
      <c r="D206" s="220"/>
      <c r="E206" s="229"/>
      <c r="F206" s="223" t="str">
        <f>IF(D206="","",기본자료!$K$67)</f>
        <v/>
      </c>
      <c r="G206" s="224" t="str">
        <f t="shared" si="9"/>
        <v/>
      </c>
      <c r="H206" s="225"/>
      <c r="I206" s="225" t="str">
        <f t="shared" si="10"/>
        <v/>
      </c>
      <c r="J206" s="226" t="str">
        <f t="shared" si="11"/>
        <v/>
      </c>
      <c r="K206" s="227"/>
      <c r="L206" s="228"/>
    </row>
    <row r="207" spans="1:12" x14ac:dyDescent="0.3">
      <c r="A207" s="219"/>
      <c r="B207" s="220"/>
      <c r="C207" s="221"/>
      <c r="D207" s="220"/>
      <c r="E207" s="229"/>
      <c r="F207" s="223" t="str">
        <f>IF(D207="","",기본자료!$K$67)</f>
        <v/>
      </c>
      <c r="G207" s="224" t="str">
        <f t="shared" si="9"/>
        <v/>
      </c>
      <c r="H207" s="225"/>
      <c r="I207" s="225" t="str">
        <f t="shared" si="10"/>
        <v/>
      </c>
      <c r="J207" s="226" t="str">
        <f t="shared" si="11"/>
        <v/>
      </c>
      <c r="K207" s="227"/>
      <c r="L207" s="228"/>
    </row>
    <row r="208" spans="1:12" x14ac:dyDescent="0.3">
      <c r="A208" s="219"/>
      <c r="B208" s="220"/>
      <c r="C208" s="221"/>
      <c r="D208" s="220"/>
      <c r="E208" s="229"/>
      <c r="F208" s="223" t="str">
        <f>IF(D208="","",기본자료!$K$67)</f>
        <v/>
      </c>
      <c r="G208" s="224" t="str">
        <f t="shared" si="9"/>
        <v/>
      </c>
      <c r="H208" s="225"/>
      <c r="I208" s="225" t="str">
        <f t="shared" si="10"/>
        <v/>
      </c>
      <c r="J208" s="226" t="str">
        <f t="shared" si="11"/>
        <v/>
      </c>
      <c r="K208" s="227"/>
      <c r="L208" s="228"/>
    </row>
    <row r="209" spans="1:12" x14ac:dyDescent="0.3">
      <c r="A209" s="219"/>
      <c r="B209" s="220"/>
      <c r="C209" s="221"/>
      <c r="D209" s="220"/>
      <c r="E209" s="229"/>
      <c r="F209" s="223" t="str">
        <f>IF(D209="","",기본자료!$K$67)</f>
        <v/>
      </c>
      <c r="G209" s="224" t="str">
        <f t="shared" si="9"/>
        <v/>
      </c>
      <c r="H209" s="225"/>
      <c r="I209" s="225" t="str">
        <f t="shared" si="10"/>
        <v/>
      </c>
      <c r="J209" s="226" t="str">
        <f t="shared" si="11"/>
        <v/>
      </c>
      <c r="K209" s="227"/>
      <c r="L209" s="228"/>
    </row>
    <row r="210" spans="1:12" x14ac:dyDescent="0.3">
      <c r="A210" s="219"/>
      <c r="B210" s="220"/>
      <c r="C210" s="221"/>
      <c r="D210" s="220"/>
      <c r="E210" s="229"/>
      <c r="F210" s="223" t="str">
        <f>IF(D210="","",기본자료!$K$67)</f>
        <v/>
      </c>
      <c r="G210" s="224" t="str">
        <f t="shared" si="9"/>
        <v/>
      </c>
      <c r="H210" s="225"/>
      <c r="I210" s="225" t="str">
        <f t="shared" si="10"/>
        <v/>
      </c>
      <c r="J210" s="226" t="str">
        <f t="shared" si="11"/>
        <v/>
      </c>
      <c r="K210" s="227"/>
      <c r="L210" s="228"/>
    </row>
    <row r="211" spans="1:12" x14ac:dyDescent="0.3">
      <c r="A211" s="219"/>
      <c r="B211" s="220"/>
      <c r="C211" s="221"/>
      <c r="D211" s="220"/>
      <c r="E211" s="229"/>
      <c r="F211" s="223" t="str">
        <f>IF(D211="","",기본자료!$K$67)</f>
        <v/>
      </c>
      <c r="G211" s="224" t="str">
        <f t="shared" si="9"/>
        <v/>
      </c>
      <c r="H211" s="225"/>
      <c r="I211" s="225" t="str">
        <f t="shared" si="10"/>
        <v/>
      </c>
      <c r="J211" s="226" t="str">
        <f t="shared" si="11"/>
        <v/>
      </c>
      <c r="K211" s="227"/>
      <c r="L211" s="228"/>
    </row>
    <row r="212" spans="1:12" x14ac:dyDescent="0.3">
      <c r="A212" s="219"/>
      <c r="B212" s="220"/>
      <c r="C212" s="221"/>
      <c r="D212" s="220"/>
      <c r="E212" s="229"/>
      <c r="F212" s="223" t="str">
        <f>IF(D212="","",기본자료!$K$67)</f>
        <v/>
      </c>
      <c r="G212" s="224" t="str">
        <f t="shared" si="9"/>
        <v/>
      </c>
      <c r="H212" s="225"/>
      <c r="I212" s="225" t="str">
        <f t="shared" si="10"/>
        <v/>
      </c>
      <c r="J212" s="226" t="str">
        <f t="shared" si="11"/>
        <v/>
      </c>
      <c r="K212" s="227"/>
      <c r="L212" s="228"/>
    </row>
    <row r="213" spans="1:12" x14ac:dyDescent="0.3">
      <c r="A213" s="219"/>
      <c r="B213" s="220"/>
      <c r="C213" s="221"/>
      <c r="D213" s="220"/>
      <c r="E213" s="229"/>
      <c r="F213" s="223" t="str">
        <f>IF(D213="","",기본자료!$K$67)</f>
        <v/>
      </c>
      <c r="G213" s="224" t="str">
        <f t="shared" si="9"/>
        <v/>
      </c>
      <c r="H213" s="225"/>
      <c r="I213" s="225" t="str">
        <f t="shared" si="10"/>
        <v/>
      </c>
      <c r="J213" s="226" t="str">
        <f t="shared" si="11"/>
        <v/>
      </c>
      <c r="K213" s="227"/>
      <c r="L213" s="228"/>
    </row>
    <row r="214" spans="1:12" x14ac:dyDescent="0.3">
      <c r="A214" s="219"/>
      <c r="B214" s="220"/>
      <c r="C214" s="221"/>
      <c r="D214" s="220"/>
      <c r="E214" s="229"/>
      <c r="F214" s="223" t="str">
        <f>IF(D214="","",기본자료!$K$67)</f>
        <v/>
      </c>
      <c r="G214" s="224" t="str">
        <f t="shared" si="9"/>
        <v/>
      </c>
      <c r="H214" s="225"/>
      <c r="I214" s="225" t="str">
        <f t="shared" si="10"/>
        <v/>
      </c>
      <c r="J214" s="226" t="str">
        <f t="shared" si="11"/>
        <v/>
      </c>
      <c r="K214" s="227"/>
      <c r="L214" s="228"/>
    </row>
    <row r="215" spans="1:12" x14ac:dyDescent="0.3">
      <c r="A215" s="219"/>
      <c r="B215" s="220"/>
      <c r="C215" s="221"/>
      <c r="D215" s="220"/>
      <c r="E215" s="229"/>
      <c r="F215" s="223" t="str">
        <f>IF(D215="","",기본자료!$K$67)</f>
        <v/>
      </c>
      <c r="G215" s="224" t="str">
        <f t="shared" si="9"/>
        <v/>
      </c>
      <c r="H215" s="225"/>
      <c r="I215" s="225" t="str">
        <f t="shared" si="10"/>
        <v/>
      </c>
      <c r="J215" s="226" t="str">
        <f t="shared" si="11"/>
        <v/>
      </c>
      <c r="K215" s="227"/>
      <c r="L215" s="228"/>
    </row>
    <row r="216" spans="1:12" x14ac:dyDescent="0.3">
      <c r="A216" s="219"/>
      <c r="B216" s="220"/>
      <c r="C216" s="221"/>
      <c r="D216" s="220"/>
      <c r="E216" s="229"/>
      <c r="F216" s="223" t="str">
        <f>IF(D216="","",기본자료!$K$67)</f>
        <v/>
      </c>
      <c r="G216" s="224" t="str">
        <f t="shared" si="9"/>
        <v/>
      </c>
      <c r="H216" s="225"/>
      <c r="I216" s="225" t="str">
        <f t="shared" si="10"/>
        <v/>
      </c>
      <c r="J216" s="226" t="str">
        <f t="shared" si="11"/>
        <v/>
      </c>
      <c r="K216" s="227"/>
      <c r="L216" s="228"/>
    </row>
    <row r="217" spans="1:12" x14ac:dyDescent="0.3">
      <c r="A217" s="219"/>
      <c r="B217" s="220"/>
      <c r="C217" s="221"/>
      <c r="D217" s="220"/>
      <c r="E217" s="229"/>
      <c r="F217" s="223" t="str">
        <f>IF(D217="","",기본자료!$K$67)</f>
        <v/>
      </c>
      <c r="G217" s="224" t="str">
        <f t="shared" si="9"/>
        <v/>
      </c>
      <c r="H217" s="225"/>
      <c r="I217" s="225" t="str">
        <f t="shared" si="10"/>
        <v/>
      </c>
      <c r="J217" s="226" t="str">
        <f t="shared" si="11"/>
        <v/>
      </c>
      <c r="K217" s="227"/>
      <c r="L217" s="228"/>
    </row>
    <row r="218" spans="1:12" x14ac:dyDescent="0.3">
      <c r="A218" s="219"/>
      <c r="B218" s="220"/>
      <c r="C218" s="221"/>
      <c r="D218" s="220"/>
      <c r="E218" s="229"/>
      <c r="F218" s="223" t="str">
        <f>IF(D218="","",기본자료!$K$67)</f>
        <v/>
      </c>
      <c r="G218" s="224" t="str">
        <f t="shared" si="9"/>
        <v/>
      </c>
      <c r="H218" s="225"/>
      <c r="I218" s="225" t="str">
        <f t="shared" si="10"/>
        <v/>
      </c>
      <c r="J218" s="226" t="str">
        <f t="shared" si="11"/>
        <v/>
      </c>
      <c r="K218" s="227"/>
      <c r="L218" s="228"/>
    </row>
    <row r="219" spans="1:12" x14ac:dyDescent="0.3">
      <c r="A219" s="219"/>
      <c r="B219" s="220"/>
      <c r="C219" s="221"/>
      <c r="D219" s="220"/>
      <c r="E219" s="229"/>
      <c r="F219" s="223" t="str">
        <f>IF(D219="","",기본자료!$K$67)</f>
        <v/>
      </c>
      <c r="G219" s="224" t="str">
        <f t="shared" si="9"/>
        <v/>
      </c>
      <c r="H219" s="225"/>
      <c r="I219" s="225" t="str">
        <f t="shared" si="10"/>
        <v/>
      </c>
      <c r="J219" s="226" t="str">
        <f t="shared" si="11"/>
        <v/>
      </c>
      <c r="K219" s="227"/>
      <c r="L219" s="228"/>
    </row>
    <row r="220" spans="1:12" x14ac:dyDescent="0.3">
      <c r="A220" s="219"/>
      <c r="B220" s="220"/>
      <c r="C220" s="221"/>
      <c r="D220" s="220"/>
      <c r="E220" s="229"/>
      <c r="F220" s="223" t="str">
        <f>IF(D220="","",기본자료!$K$67)</f>
        <v/>
      </c>
      <c r="G220" s="224" t="str">
        <f t="shared" si="9"/>
        <v/>
      </c>
      <c r="H220" s="225"/>
      <c r="I220" s="225" t="str">
        <f t="shared" si="10"/>
        <v/>
      </c>
      <c r="J220" s="226" t="str">
        <f t="shared" si="11"/>
        <v/>
      </c>
      <c r="K220" s="227"/>
      <c r="L220" s="228"/>
    </row>
    <row r="221" spans="1:12" x14ac:dyDescent="0.3">
      <c r="A221" s="219"/>
      <c r="B221" s="220"/>
      <c r="C221" s="221"/>
      <c r="D221" s="220"/>
      <c r="E221" s="229"/>
      <c r="F221" s="223" t="str">
        <f>IF(D221="","",기본자료!$K$67)</f>
        <v/>
      </c>
      <c r="G221" s="224" t="str">
        <f t="shared" si="9"/>
        <v/>
      </c>
      <c r="H221" s="225"/>
      <c r="I221" s="225" t="str">
        <f t="shared" si="10"/>
        <v/>
      </c>
      <c r="J221" s="226" t="str">
        <f t="shared" si="11"/>
        <v/>
      </c>
      <c r="K221" s="227"/>
      <c r="L221" s="228"/>
    </row>
    <row r="222" spans="1:12" x14ac:dyDescent="0.3">
      <c r="A222" s="219"/>
      <c r="B222" s="220"/>
      <c r="C222" s="221"/>
      <c r="D222" s="220"/>
      <c r="E222" s="229"/>
      <c r="F222" s="223" t="str">
        <f>IF(D222="","",기본자료!$K$67)</f>
        <v/>
      </c>
      <c r="G222" s="224" t="str">
        <f t="shared" si="9"/>
        <v/>
      </c>
      <c r="H222" s="225"/>
      <c r="I222" s="225" t="str">
        <f t="shared" si="10"/>
        <v/>
      </c>
      <c r="J222" s="226" t="str">
        <f t="shared" si="11"/>
        <v/>
      </c>
      <c r="K222" s="227"/>
      <c r="L222" s="228"/>
    </row>
    <row r="223" spans="1:12" x14ac:dyDescent="0.3">
      <c r="A223" s="219"/>
      <c r="B223" s="220"/>
      <c r="C223" s="221"/>
      <c r="D223" s="220"/>
      <c r="E223" s="229"/>
      <c r="F223" s="223" t="str">
        <f>IF(D223="","",기본자료!$K$67)</f>
        <v/>
      </c>
      <c r="G223" s="224" t="str">
        <f t="shared" si="9"/>
        <v/>
      </c>
      <c r="H223" s="225"/>
      <c r="I223" s="225" t="str">
        <f t="shared" si="10"/>
        <v/>
      </c>
      <c r="J223" s="226" t="str">
        <f t="shared" si="11"/>
        <v/>
      </c>
      <c r="K223" s="227"/>
      <c r="L223" s="228"/>
    </row>
    <row r="224" spans="1:12" x14ac:dyDescent="0.3">
      <c r="A224" s="219"/>
      <c r="B224" s="220"/>
      <c r="C224" s="221"/>
      <c r="D224" s="220"/>
      <c r="E224" s="229"/>
      <c r="F224" s="223" t="str">
        <f>IF(D224="","",기본자료!$K$67)</f>
        <v/>
      </c>
      <c r="G224" s="224" t="str">
        <f t="shared" si="9"/>
        <v/>
      </c>
      <c r="H224" s="225"/>
      <c r="I224" s="225" t="str">
        <f t="shared" si="10"/>
        <v/>
      </c>
      <c r="J224" s="226" t="str">
        <f t="shared" si="11"/>
        <v/>
      </c>
      <c r="K224" s="227"/>
      <c r="L224" s="228"/>
    </row>
    <row r="225" spans="1:12" x14ac:dyDescent="0.3">
      <c r="A225" s="219"/>
      <c r="B225" s="220"/>
      <c r="C225" s="221"/>
      <c r="D225" s="220"/>
      <c r="E225" s="229"/>
      <c r="F225" s="223" t="str">
        <f>IF(D225="","",기본자료!$K$67)</f>
        <v/>
      </c>
      <c r="G225" s="224" t="str">
        <f t="shared" si="9"/>
        <v/>
      </c>
      <c r="H225" s="225"/>
      <c r="I225" s="225" t="str">
        <f t="shared" si="10"/>
        <v/>
      </c>
      <c r="J225" s="226" t="str">
        <f t="shared" si="11"/>
        <v/>
      </c>
      <c r="K225" s="227"/>
      <c r="L225" s="228"/>
    </row>
    <row r="226" spans="1:12" x14ac:dyDescent="0.3">
      <c r="A226" s="219"/>
      <c r="B226" s="220"/>
      <c r="C226" s="221"/>
      <c r="D226" s="220"/>
      <c r="E226" s="229"/>
      <c r="F226" s="223" t="str">
        <f>IF(D226="","",기본자료!$K$67)</f>
        <v/>
      </c>
      <c r="G226" s="224" t="str">
        <f t="shared" si="9"/>
        <v/>
      </c>
      <c r="H226" s="225"/>
      <c r="I226" s="225" t="str">
        <f t="shared" si="10"/>
        <v/>
      </c>
      <c r="J226" s="226" t="str">
        <f t="shared" si="11"/>
        <v/>
      </c>
      <c r="K226" s="227"/>
      <c r="L226" s="228"/>
    </row>
    <row r="227" spans="1:12" x14ac:dyDescent="0.3">
      <c r="A227" s="219"/>
      <c r="B227" s="220"/>
      <c r="C227" s="221"/>
      <c r="D227" s="220"/>
      <c r="E227" s="229"/>
      <c r="F227" s="223" t="str">
        <f>IF(D227="","",기본자료!$K$67)</f>
        <v/>
      </c>
      <c r="G227" s="224" t="str">
        <f t="shared" si="9"/>
        <v/>
      </c>
      <c r="H227" s="225"/>
      <c r="I227" s="225" t="str">
        <f t="shared" si="10"/>
        <v/>
      </c>
      <c r="J227" s="226" t="str">
        <f t="shared" si="11"/>
        <v/>
      </c>
      <c r="K227" s="227"/>
      <c r="L227" s="228"/>
    </row>
    <row r="228" spans="1:12" x14ac:dyDescent="0.3">
      <c r="A228" s="219"/>
      <c r="B228" s="220"/>
      <c r="C228" s="221"/>
      <c r="D228" s="220"/>
      <c r="E228" s="229"/>
      <c r="F228" s="223" t="str">
        <f>IF(D228="","",기본자료!$K$67)</f>
        <v/>
      </c>
      <c r="G228" s="224" t="str">
        <f t="shared" si="9"/>
        <v/>
      </c>
      <c r="H228" s="225"/>
      <c r="I228" s="225" t="str">
        <f t="shared" si="10"/>
        <v/>
      </c>
      <c r="J228" s="226" t="str">
        <f t="shared" si="11"/>
        <v/>
      </c>
      <c r="K228" s="227"/>
      <c r="L228" s="228"/>
    </row>
    <row r="229" spans="1:12" x14ac:dyDescent="0.3">
      <c r="A229" s="219"/>
      <c r="B229" s="220"/>
      <c r="C229" s="221"/>
      <c r="D229" s="220"/>
      <c r="E229" s="229"/>
      <c r="F229" s="223" t="str">
        <f>IF(D229="","",기본자료!$K$67)</f>
        <v/>
      </c>
      <c r="G229" s="224" t="str">
        <f t="shared" si="9"/>
        <v/>
      </c>
      <c r="H229" s="225"/>
      <c r="I229" s="225" t="str">
        <f t="shared" si="10"/>
        <v/>
      </c>
      <c r="J229" s="226" t="str">
        <f t="shared" si="11"/>
        <v/>
      </c>
      <c r="K229" s="227"/>
      <c r="L229" s="228"/>
    </row>
    <row r="230" spans="1:12" x14ac:dyDescent="0.3">
      <c r="A230" s="219"/>
      <c r="B230" s="220"/>
      <c r="C230" s="221"/>
      <c r="D230" s="220"/>
      <c r="E230" s="229"/>
      <c r="F230" s="223" t="str">
        <f>IF(D230="","",기본자료!$K$67)</f>
        <v/>
      </c>
      <c r="G230" s="224" t="str">
        <f t="shared" si="9"/>
        <v/>
      </c>
      <c r="H230" s="225"/>
      <c r="I230" s="225" t="str">
        <f t="shared" si="10"/>
        <v/>
      </c>
      <c r="J230" s="226" t="str">
        <f t="shared" si="11"/>
        <v/>
      </c>
      <c r="K230" s="227"/>
      <c r="L230" s="228"/>
    </row>
    <row r="231" spans="1:12" x14ac:dyDescent="0.3">
      <c r="A231" s="219"/>
      <c r="B231" s="220"/>
      <c r="C231" s="221"/>
      <c r="D231" s="220"/>
      <c r="E231" s="229"/>
      <c r="F231" s="223" t="str">
        <f>IF(D231="","",기본자료!$K$67)</f>
        <v/>
      </c>
      <c r="G231" s="224" t="str">
        <f t="shared" si="9"/>
        <v/>
      </c>
      <c r="H231" s="225"/>
      <c r="I231" s="225" t="str">
        <f t="shared" si="10"/>
        <v/>
      </c>
      <c r="J231" s="226" t="str">
        <f t="shared" si="11"/>
        <v/>
      </c>
      <c r="K231" s="227"/>
      <c r="L231" s="228"/>
    </row>
    <row r="232" spans="1:12" x14ac:dyDescent="0.3">
      <c r="A232" s="219"/>
      <c r="B232" s="220"/>
      <c r="C232" s="221"/>
      <c r="D232" s="220"/>
      <c r="E232" s="229"/>
      <c r="F232" s="223" t="str">
        <f>IF(D232="","",기본자료!$K$67)</f>
        <v/>
      </c>
      <c r="G232" s="224" t="str">
        <f t="shared" si="9"/>
        <v/>
      </c>
      <c r="H232" s="225"/>
      <c r="I232" s="225" t="str">
        <f t="shared" si="10"/>
        <v/>
      </c>
      <c r="J232" s="226" t="str">
        <f t="shared" si="11"/>
        <v/>
      </c>
      <c r="K232" s="227"/>
      <c r="L232" s="228"/>
    </row>
    <row r="233" spans="1:12" x14ac:dyDescent="0.3">
      <c r="A233" s="219"/>
      <c r="B233" s="220"/>
      <c r="C233" s="221"/>
      <c r="D233" s="220"/>
      <c r="E233" s="229"/>
      <c r="F233" s="223" t="str">
        <f>IF(D233="","",기본자료!$K$67)</f>
        <v/>
      </c>
      <c r="G233" s="224" t="str">
        <f t="shared" si="9"/>
        <v/>
      </c>
      <c r="H233" s="225"/>
      <c r="I233" s="225" t="str">
        <f t="shared" si="10"/>
        <v/>
      </c>
      <c r="J233" s="226" t="str">
        <f t="shared" si="11"/>
        <v/>
      </c>
      <c r="K233" s="227"/>
      <c r="L233" s="228"/>
    </row>
    <row r="234" spans="1:12" x14ac:dyDescent="0.3">
      <c r="A234" s="219"/>
      <c r="B234" s="220"/>
      <c r="C234" s="221"/>
      <c r="D234" s="220"/>
      <c r="E234" s="229"/>
      <c r="F234" s="223" t="str">
        <f>IF(D234="","",기본자료!$K$67)</f>
        <v/>
      </c>
      <c r="G234" s="224" t="str">
        <f t="shared" si="9"/>
        <v/>
      </c>
      <c r="H234" s="225"/>
      <c r="I234" s="225" t="str">
        <f t="shared" si="10"/>
        <v/>
      </c>
      <c r="J234" s="226" t="str">
        <f t="shared" si="11"/>
        <v/>
      </c>
      <c r="K234" s="227"/>
      <c r="L234" s="228"/>
    </row>
    <row r="235" spans="1:12" x14ac:dyDescent="0.3">
      <c r="A235" s="219"/>
      <c r="B235" s="220"/>
      <c r="C235" s="221"/>
      <c r="D235" s="220"/>
      <c r="E235" s="229"/>
      <c r="F235" s="223" t="str">
        <f>IF(D235="","",기본자료!$K$67)</f>
        <v/>
      </c>
      <c r="G235" s="224" t="str">
        <f t="shared" si="9"/>
        <v/>
      </c>
      <c r="H235" s="225"/>
      <c r="I235" s="225" t="str">
        <f t="shared" si="10"/>
        <v/>
      </c>
      <c r="J235" s="226" t="str">
        <f t="shared" si="11"/>
        <v/>
      </c>
      <c r="K235" s="227"/>
      <c r="L235" s="228"/>
    </row>
    <row r="236" spans="1:12" x14ac:dyDescent="0.3">
      <c r="A236" s="219"/>
      <c r="B236" s="220"/>
      <c r="C236" s="221"/>
      <c r="D236" s="220"/>
      <c r="E236" s="229"/>
      <c r="F236" s="223" t="str">
        <f>IF(D236="","",기본자료!$K$67)</f>
        <v/>
      </c>
      <c r="G236" s="224" t="str">
        <f t="shared" si="9"/>
        <v/>
      </c>
      <c r="H236" s="225"/>
      <c r="I236" s="225" t="str">
        <f t="shared" si="10"/>
        <v/>
      </c>
      <c r="J236" s="226" t="str">
        <f t="shared" si="11"/>
        <v/>
      </c>
      <c r="K236" s="227"/>
      <c r="L236" s="228"/>
    </row>
    <row r="237" spans="1:12" x14ac:dyDescent="0.3">
      <c r="A237" s="219"/>
      <c r="B237" s="220"/>
      <c r="C237" s="221"/>
      <c r="D237" s="220"/>
      <c r="E237" s="229"/>
      <c r="F237" s="223" t="str">
        <f>IF(D237="","",기본자료!$K$67)</f>
        <v/>
      </c>
      <c r="G237" s="224" t="str">
        <f t="shared" si="9"/>
        <v/>
      </c>
      <c r="H237" s="225"/>
      <c r="I237" s="225" t="str">
        <f t="shared" si="10"/>
        <v/>
      </c>
      <c r="J237" s="226" t="str">
        <f t="shared" si="11"/>
        <v/>
      </c>
      <c r="K237" s="227"/>
      <c r="L237" s="228"/>
    </row>
    <row r="238" spans="1:12" x14ac:dyDescent="0.3">
      <c r="A238" s="219"/>
      <c r="B238" s="220"/>
      <c r="C238" s="221"/>
      <c r="D238" s="220"/>
      <c r="E238" s="229"/>
      <c r="F238" s="223" t="str">
        <f>IF(D238="","",기본자료!$K$67)</f>
        <v/>
      </c>
      <c r="G238" s="224" t="str">
        <f t="shared" si="9"/>
        <v/>
      </c>
      <c r="H238" s="225"/>
      <c r="I238" s="225" t="str">
        <f t="shared" si="10"/>
        <v/>
      </c>
      <c r="J238" s="226" t="str">
        <f t="shared" si="11"/>
        <v/>
      </c>
      <c r="K238" s="227"/>
      <c r="L238" s="228"/>
    </row>
    <row r="239" spans="1:12" x14ac:dyDescent="0.3">
      <c r="A239" s="219"/>
      <c r="B239" s="220"/>
      <c r="C239" s="221"/>
      <c r="D239" s="220"/>
      <c r="E239" s="229"/>
      <c r="F239" s="223" t="str">
        <f>IF(D239="","",기본자료!$K$67)</f>
        <v/>
      </c>
      <c r="G239" s="224" t="str">
        <f t="shared" si="9"/>
        <v/>
      </c>
      <c r="H239" s="225"/>
      <c r="I239" s="225" t="str">
        <f t="shared" si="10"/>
        <v/>
      </c>
      <c r="J239" s="226" t="str">
        <f t="shared" si="11"/>
        <v/>
      </c>
      <c r="K239" s="227"/>
      <c r="L239" s="228"/>
    </row>
    <row r="240" spans="1:12" x14ac:dyDescent="0.3">
      <c r="A240" s="219"/>
      <c r="B240" s="220"/>
      <c r="C240" s="221"/>
      <c r="D240" s="220"/>
      <c r="E240" s="229"/>
      <c r="F240" s="223" t="str">
        <f>IF(D240="","",기본자료!$K$67)</f>
        <v/>
      </c>
      <c r="G240" s="224" t="str">
        <f t="shared" si="9"/>
        <v/>
      </c>
      <c r="H240" s="225"/>
      <c r="I240" s="225" t="str">
        <f t="shared" si="10"/>
        <v/>
      </c>
      <c r="J240" s="226" t="str">
        <f t="shared" si="11"/>
        <v/>
      </c>
      <c r="K240" s="227"/>
      <c r="L240" s="228"/>
    </row>
    <row r="241" spans="1:12" x14ac:dyDescent="0.3">
      <c r="A241" s="219"/>
      <c r="B241" s="220"/>
      <c r="C241" s="221"/>
      <c r="D241" s="220"/>
      <c r="E241" s="229"/>
      <c r="F241" s="223" t="str">
        <f>IF(D241="","",기본자료!$K$67)</f>
        <v/>
      </c>
      <c r="G241" s="224" t="str">
        <f t="shared" si="9"/>
        <v/>
      </c>
      <c r="H241" s="225"/>
      <c r="I241" s="225" t="str">
        <f t="shared" si="10"/>
        <v/>
      </c>
      <c r="J241" s="226" t="str">
        <f t="shared" si="11"/>
        <v/>
      </c>
      <c r="K241" s="227"/>
      <c r="L241" s="228"/>
    </row>
    <row r="242" spans="1:12" x14ac:dyDescent="0.3">
      <c r="A242" s="219"/>
      <c r="B242" s="220"/>
      <c r="C242" s="221"/>
      <c r="D242" s="220"/>
      <c r="E242" s="229"/>
      <c r="F242" s="223" t="str">
        <f>IF(D242="","",기본자료!$K$67)</f>
        <v/>
      </c>
      <c r="G242" s="224" t="str">
        <f t="shared" si="9"/>
        <v/>
      </c>
      <c r="H242" s="225"/>
      <c r="I242" s="225" t="str">
        <f t="shared" si="10"/>
        <v/>
      </c>
      <c r="J242" s="226" t="str">
        <f t="shared" si="11"/>
        <v/>
      </c>
      <c r="K242" s="227"/>
      <c r="L242" s="228"/>
    </row>
    <row r="243" spans="1:12" x14ac:dyDescent="0.3">
      <c r="A243" s="219"/>
      <c r="B243" s="220"/>
      <c r="C243" s="221"/>
      <c r="D243" s="220"/>
      <c r="E243" s="229"/>
      <c r="F243" s="223" t="str">
        <f>IF(D243="","",기본자료!$K$67)</f>
        <v/>
      </c>
      <c r="G243" s="224" t="str">
        <f t="shared" si="9"/>
        <v/>
      </c>
      <c r="H243" s="225"/>
      <c r="I243" s="225" t="str">
        <f t="shared" si="10"/>
        <v/>
      </c>
      <c r="J243" s="226" t="str">
        <f t="shared" si="11"/>
        <v/>
      </c>
      <c r="K243" s="227"/>
      <c r="L243" s="228"/>
    </row>
    <row r="244" spans="1:12" x14ac:dyDescent="0.3">
      <c r="A244" s="219"/>
      <c r="B244" s="220"/>
      <c r="C244" s="221"/>
      <c r="D244" s="220"/>
      <c r="E244" s="229"/>
      <c r="F244" s="223" t="str">
        <f>IF(D244="","",기본자료!$K$67)</f>
        <v/>
      </c>
      <c r="G244" s="224" t="str">
        <f t="shared" si="9"/>
        <v/>
      </c>
      <c r="H244" s="225"/>
      <c r="I244" s="225" t="str">
        <f t="shared" si="10"/>
        <v/>
      </c>
      <c r="J244" s="226" t="str">
        <f t="shared" si="11"/>
        <v/>
      </c>
      <c r="K244" s="227"/>
      <c r="L244" s="228"/>
    </row>
    <row r="245" spans="1:12" x14ac:dyDescent="0.3">
      <c r="A245" s="219"/>
      <c r="B245" s="220"/>
      <c r="C245" s="221"/>
      <c r="D245" s="220"/>
      <c r="E245" s="229"/>
      <c r="F245" s="223" t="str">
        <f>IF(D245="","",기본자료!$K$67)</f>
        <v/>
      </c>
      <c r="G245" s="224" t="str">
        <f t="shared" si="9"/>
        <v/>
      </c>
      <c r="H245" s="225"/>
      <c r="I245" s="225" t="str">
        <f t="shared" si="10"/>
        <v/>
      </c>
      <c r="J245" s="226" t="str">
        <f t="shared" si="11"/>
        <v/>
      </c>
      <c r="K245" s="227"/>
      <c r="L245" s="228"/>
    </row>
    <row r="246" spans="1:12" x14ac:dyDescent="0.3">
      <c r="A246" s="219"/>
      <c r="B246" s="220"/>
      <c r="C246" s="221"/>
      <c r="D246" s="220"/>
      <c r="E246" s="229"/>
      <c r="F246" s="223" t="str">
        <f>IF(D246="","",기본자료!$K$67)</f>
        <v/>
      </c>
      <c r="G246" s="224" t="str">
        <f t="shared" si="9"/>
        <v/>
      </c>
      <c r="H246" s="225"/>
      <c r="I246" s="225" t="str">
        <f t="shared" si="10"/>
        <v/>
      </c>
      <c r="J246" s="226" t="str">
        <f t="shared" si="11"/>
        <v/>
      </c>
      <c r="K246" s="227"/>
      <c r="L246" s="228"/>
    </row>
    <row r="247" spans="1:12" x14ac:dyDescent="0.3">
      <c r="A247" s="219"/>
      <c r="B247" s="220"/>
      <c r="C247" s="221"/>
      <c r="D247" s="220"/>
      <c r="E247" s="229"/>
      <c r="F247" s="223" t="str">
        <f>IF(D247="","",기본자료!$K$67)</f>
        <v/>
      </c>
      <c r="G247" s="224" t="str">
        <f t="shared" si="9"/>
        <v/>
      </c>
      <c r="H247" s="225"/>
      <c r="I247" s="225" t="str">
        <f t="shared" si="10"/>
        <v/>
      </c>
      <c r="J247" s="226" t="str">
        <f t="shared" si="11"/>
        <v/>
      </c>
      <c r="K247" s="227"/>
      <c r="L247" s="228"/>
    </row>
    <row r="248" spans="1:12" x14ac:dyDescent="0.3">
      <c r="A248" s="219"/>
      <c r="B248" s="220"/>
      <c r="C248" s="221"/>
      <c r="D248" s="220"/>
      <c r="E248" s="229"/>
      <c r="F248" s="223" t="str">
        <f>IF(D248="","",기본자료!$K$67)</f>
        <v/>
      </c>
      <c r="G248" s="224" t="str">
        <f t="shared" si="9"/>
        <v/>
      </c>
      <c r="H248" s="225"/>
      <c r="I248" s="225" t="str">
        <f t="shared" si="10"/>
        <v/>
      </c>
      <c r="J248" s="226" t="str">
        <f t="shared" si="11"/>
        <v/>
      </c>
      <c r="K248" s="227"/>
      <c r="L248" s="228"/>
    </row>
    <row r="249" spans="1:12" x14ac:dyDescent="0.3">
      <c r="A249" s="219"/>
      <c r="B249" s="237"/>
      <c r="C249" s="238"/>
      <c r="D249" s="220"/>
      <c r="E249" s="229"/>
      <c r="F249" s="223" t="str">
        <f>IF(D249="","",기본자료!$K$67)</f>
        <v/>
      </c>
      <c r="G249" s="224" t="str">
        <f t="shared" si="9"/>
        <v/>
      </c>
      <c r="H249" s="225"/>
      <c r="I249" s="225" t="str">
        <f t="shared" si="10"/>
        <v/>
      </c>
      <c r="J249" s="226" t="str">
        <f t="shared" si="11"/>
        <v/>
      </c>
      <c r="K249" s="227"/>
      <c r="L249" s="228"/>
    </row>
    <row r="250" spans="1:12" x14ac:dyDescent="0.3">
      <c r="A250" s="219"/>
      <c r="B250" s="237"/>
      <c r="C250" s="238"/>
      <c r="D250" s="220"/>
      <c r="E250" s="229"/>
      <c r="F250" s="223" t="str">
        <f>IF(D250="","",기본자료!$K$67)</f>
        <v/>
      </c>
      <c r="G250" s="224" t="str">
        <f t="shared" si="9"/>
        <v/>
      </c>
      <c r="H250" s="225"/>
      <c r="I250" s="225" t="str">
        <f t="shared" si="10"/>
        <v/>
      </c>
      <c r="J250" s="226" t="str">
        <f t="shared" si="11"/>
        <v/>
      </c>
      <c r="K250" s="227"/>
      <c r="L250" s="228"/>
    </row>
    <row r="251" spans="1:12" x14ac:dyDescent="0.3">
      <c r="A251" s="219"/>
      <c r="B251" s="237"/>
      <c r="C251" s="238"/>
      <c r="D251" s="220"/>
      <c r="E251" s="237"/>
      <c r="F251" s="223" t="str">
        <f>IF(D251="","",기본자료!$K$67)</f>
        <v/>
      </c>
      <c r="G251" s="224" t="str">
        <f t="shared" si="9"/>
        <v/>
      </c>
      <c r="H251" s="225"/>
      <c r="I251" s="225" t="str">
        <f t="shared" si="10"/>
        <v/>
      </c>
      <c r="J251" s="226" t="str">
        <f t="shared" si="11"/>
        <v/>
      </c>
      <c r="K251" s="227"/>
      <c r="L251" s="228"/>
    </row>
    <row r="252" spans="1:12" x14ac:dyDescent="0.3">
      <c r="A252" s="219"/>
      <c r="B252" s="237"/>
      <c r="C252" s="238"/>
      <c r="D252" s="220"/>
      <c r="E252" s="237"/>
      <c r="F252" s="223" t="str">
        <f>IF(D252="","",기본자료!$K$67)</f>
        <v/>
      </c>
      <c r="G252" s="224" t="str">
        <f t="shared" si="9"/>
        <v/>
      </c>
      <c r="H252" s="225"/>
      <c r="I252" s="225" t="str">
        <f t="shared" si="10"/>
        <v/>
      </c>
      <c r="J252" s="226" t="str">
        <f t="shared" si="11"/>
        <v/>
      </c>
      <c r="K252" s="227"/>
      <c r="L252" s="228"/>
    </row>
    <row r="253" spans="1:12" x14ac:dyDescent="0.3">
      <c r="A253" s="219"/>
      <c r="B253" s="237"/>
      <c r="C253" s="238"/>
      <c r="D253" s="220"/>
      <c r="E253" s="237"/>
      <c r="F253" s="223" t="str">
        <f>IF(D253="","",기본자료!$K$67)</f>
        <v/>
      </c>
      <c r="G253" s="224" t="str">
        <f t="shared" si="9"/>
        <v/>
      </c>
      <c r="H253" s="225"/>
      <c r="I253" s="225" t="str">
        <f t="shared" si="10"/>
        <v/>
      </c>
      <c r="J253" s="226" t="str">
        <f t="shared" si="11"/>
        <v/>
      </c>
      <c r="K253" s="227"/>
      <c r="L253" s="228"/>
    </row>
    <row r="254" spans="1:12" x14ac:dyDescent="0.3">
      <c r="A254" s="219"/>
      <c r="B254" s="237"/>
      <c r="C254" s="238"/>
      <c r="D254" s="220"/>
      <c r="E254" s="237"/>
      <c r="F254" s="223" t="str">
        <f>IF(D254="","",기본자료!$K$67)</f>
        <v/>
      </c>
      <c r="G254" s="224" t="str">
        <f t="shared" si="9"/>
        <v/>
      </c>
      <c r="H254" s="225"/>
      <c r="I254" s="225" t="str">
        <f t="shared" si="10"/>
        <v/>
      </c>
      <c r="J254" s="226" t="str">
        <f t="shared" si="11"/>
        <v/>
      </c>
      <c r="K254" s="227"/>
      <c r="L254" s="228"/>
    </row>
    <row r="255" spans="1:12" x14ac:dyDescent="0.3">
      <c r="A255" s="219"/>
      <c r="B255" s="237"/>
      <c r="C255" s="238"/>
      <c r="D255" s="220"/>
      <c r="E255" s="237"/>
      <c r="F255" s="223" t="str">
        <f>IF(D255="","",기본자료!$K$67)</f>
        <v/>
      </c>
      <c r="G255" s="224" t="str">
        <f t="shared" si="9"/>
        <v/>
      </c>
      <c r="H255" s="225"/>
      <c r="I255" s="225" t="str">
        <f t="shared" si="10"/>
        <v/>
      </c>
      <c r="J255" s="226" t="str">
        <f t="shared" si="11"/>
        <v/>
      </c>
      <c r="K255" s="227"/>
      <c r="L255" s="228"/>
    </row>
    <row r="256" spans="1:12" x14ac:dyDescent="0.3">
      <c r="A256" s="219"/>
      <c r="B256" s="237"/>
      <c r="C256" s="238"/>
      <c r="D256" s="220"/>
      <c r="E256" s="237"/>
      <c r="F256" s="223" t="str">
        <f>IF(D256="","",기본자료!$K$67)</f>
        <v/>
      </c>
      <c r="G256" s="224" t="str">
        <f t="shared" si="9"/>
        <v/>
      </c>
      <c r="H256" s="225"/>
      <c r="I256" s="225" t="str">
        <f t="shared" si="10"/>
        <v/>
      </c>
      <c r="J256" s="226" t="str">
        <f t="shared" si="11"/>
        <v/>
      </c>
      <c r="K256" s="227"/>
      <c r="L256" s="228"/>
    </row>
    <row r="257" spans="1:12" x14ac:dyDescent="0.3">
      <c r="A257" s="239"/>
      <c r="B257" s="240"/>
      <c r="C257" s="241"/>
      <c r="D257" s="242"/>
      <c r="E257" s="240"/>
      <c r="F257" s="407" t="str">
        <f>IF(D257="","",기본자료!$K$67)</f>
        <v/>
      </c>
      <c r="G257" s="243" t="str">
        <f t="shared" si="9"/>
        <v/>
      </c>
      <c r="H257" s="244"/>
      <c r="I257" s="244" t="str">
        <f t="shared" si="10"/>
        <v/>
      </c>
      <c r="J257" s="245" t="str">
        <f t="shared" si="11"/>
        <v/>
      </c>
      <c r="K257" s="246"/>
      <c r="L257" s="228"/>
    </row>
  </sheetData>
  <protectedRanges>
    <protectedRange sqref="A11:E257" name="범위1"/>
  </protectedRanges>
  <mergeCells count="13">
    <mergeCell ref="I7:I10"/>
    <mergeCell ref="J7:J10"/>
    <mergeCell ref="K7:K10"/>
    <mergeCell ref="A1:K1"/>
    <mergeCell ref="A4:B4"/>
    <mergeCell ref="A7:A10"/>
    <mergeCell ref="B7:B10"/>
    <mergeCell ref="C7:C10"/>
    <mergeCell ref="D7:D10"/>
    <mergeCell ref="E7:E10"/>
    <mergeCell ref="F7:F10"/>
    <mergeCell ref="G7:G10"/>
    <mergeCell ref="H7:H10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1"/>
  <dimension ref="A1:N141"/>
  <sheetViews>
    <sheetView workbookViewId="0">
      <selection sqref="A1:J1"/>
    </sheetView>
  </sheetViews>
  <sheetFormatPr defaultRowHeight="16.5" x14ac:dyDescent="0.3"/>
  <cols>
    <col min="1" max="1" width="11.125" customWidth="1"/>
    <col min="8" max="8" width="11" bestFit="1" customWidth="1"/>
    <col min="11" max="11" width="8.5" hidden="1" customWidth="1"/>
    <col min="12" max="12" width="2.125" hidden="1" customWidth="1"/>
    <col min="13" max="13" width="11.625" hidden="1" customWidth="1"/>
    <col min="14" max="14" width="13.125" hidden="1" customWidth="1"/>
  </cols>
  <sheetData>
    <row r="1" spans="1:14" ht="22.5" x14ac:dyDescent="0.15">
      <c r="A1" s="660" t="s">
        <v>122</v>
      </c>
      <c r="B1" s="660"/>
      <c r="C1" s="660"/>
      <c r="D1" s="660"/>
      <c r="E1" s="660"/>
      <c r="F1" s="660"/>
      <c r="G1" s="660"/>
      <c r="H1" s="660"/>
      <c r="I1" s="660"/>
      <c r="J1" s="660"/>
      <c r="K1" s="247"/>
      <c r="L1" s="247"/>
      <c r="M1" s="247"/>
      <c r="N1" s="247"/>
    </row>
    <row r="2" spans="1:14" x14ac:dyDescent="0.15">
      <c r="A2" s="248"/>
      <c r="B2" s="249"/>
      <c r="C2" s="250"/>
      <c r="D2" s="250"/>
      <c r="E2" s="250"/>
      <c r="F2" s="250"/>
      <c r="G2" s="250"/>
      <c r="H2" s="250"/>
      <c r="I2" s="251"/>
      <c r="J2" s="248"/>
      <c r="K2" s="247"/>
      <c r="L2" s="247"/>
      <c r="M2" s="247"/>
      <c r="N2" s="247"/>
    </row>
    <row r="3" spans="1:14" x14ac:dyDescent="0.15">
      <c r="A3" s="248"/>
      <c r="B3" s="248"/>
      <c r="C3" s="248"/>
      <c r="D3" s="248"/>
      <c r="E3" s="248"/>
      <c r="F3" s="248"/>
      <c r="G3" s="248"/>
      <c r="H3" s="248"/>
      <c r="I3" s="252"/>
      <c r="J3" s="248"/>
      <c r="K3" s="247"/>
      <c r="L3" s="247"/>
      <c r="M3" s="247"/>
      <c r="N3" s="247"/>
    </row>
    <row r="4" spans="1:14" x14ac:dyDescent="0.15">
      <c r="A4" s="661" t="s">
        <v>123</v>
      </c>
      <c r="B4" s="661"/>
      <c r="C4" s="253" t="str">
        <f>수종별재적표!$D$3</f>
        <v>강릉 54임반 4(라)소반 외 1 개소</v>
      </c>
      <c r="D4" s="248"/>
      <c r="E4" s="248"/>
      <c r="F4" s="248"/>
      <c r="G4" s="248"/>
      <c r="H4" s="248"/>
      <c r="I4" s="252"/>
      <c r="J4" s="248"/>
      <c r="K4" s="247"/>
      <c r="L4" s="247"/>
      <c r="M4" s="247"/>
      <c r="N4" s="247"/>
    </row>
    <row r="5" spans="1:14" x14ac:dyDescent="0.15">
      <c r="A5" s="254"/>
      <c r="B5" s="254"/>
      <c r="C5" s="253"/>
      <c r="D5" s="248"/>
      <c r="E5" s="248"/>
      <c r="F5" s="248"/>
      <c r="G5" s="248"/>
      <c r="H5" s="248"/>
      <c r="I5" s="252"/>
      <c r="J5" s="248"/>
      <c r="K5" s="247"/>
      <c r="L5" s="247"/>
      <c r="M5" s="247"/>
      <c r="N5" s="247"/>
    </row>
    <row r="6" spans="1:14" x14ac:dyDescent="0.15">
      <c r="A6" s="254"/>
      <c r="B6" s="254"/>
      <c r="C6" s="253"/>
      <c r="D6" s="248"/>
      <c r="E6" s="248"/>
      <c r="F6" s="248"/>
      <c r="G6" s="248"/>
      <c r="H6" s="248"/>
      <c r="I6" s="252"/>
      <c r="J6" s="248"/>
      <c r="K6" s="247"/>
      <c r="L6" s="247"/>
      <c r="M6" s="247"/>
      <c r="N6" s="247"/>
    </row>
    <row r="7" spans="1:14" x14ac:dyDescent="0.3">
      <c r="A7" s="662" t="s">
        <v>124</v>
      </c>
      <c r="B7" s="664" t="s">
        <v>125</v>
      </c>
      <c r="C7" s="664" t="s">
        <v>126</v>
      </c>
      <c r="D7" s="665" t="s">
        <v>127</v>
      </c>
      <c r="E7" s="664" t="s">
        <v>128</v>
      </c>
      <c r="F7" s="666" t="s">
        <v>129</v>
      </c>
      <c r="G7" s="666"/>
      <c r="H7" s="666" t="s">
        <v>130</v>
      </c>
      <c r="I7" s="665" t="s">
        <v>131</v>
      </c>
      <c r="J7" s="657" t="s">
        <v>132</v>
      </c>
      <c r="K7" s="255"/>
      <c r="L7" s="255"/>
      <c r="M7" s="255"/>
      <c r="N7" s="255"/>
    </row>
    <row r="8" spans="1:14" x14ac:dyDescent="0.3">
      <c r="A8" s="663"/>
      <c r="B8" s="659"/>
      <c r="C8" s="659"/>
      <c r="D8" s="659"/>
      <c r="E8" s="659"/>
      <c r="F8" s="667"/>
      <c r="G8" s="667"/>
      <c r="H8" s="667"/>
      <c r="I8" s="659"/>
      <c r="J8" s="658"/>
      <c r="K8" s="255"/>
      <c r="L8" s="255"/>
      <c r="M8" s="255"/>
      <c r="N8" s="255"/>
    </row>
    <row r="9" spans="1:14" x14ac:dyDescent="0.3">
      <c r="A9" s="663"/>
      <c r="B9" s="659"/>
      <c r="C9" s="659"/>
      <c r="D9" s="659"/>
      <c r="E9" s="659"/>
      <c r="F9" s="659" t="s">
        <v>133</v>
      </c>
      <c r="G9" s="659" t="s">
        <v>134</v>
      </c>
      <c r="H9" s="639" t="s">
        <v>135</v>
      </c>
      <c r="I9" s="659"/>
      <c r="J9" s="658"/>
      <c r="K9" s="255"/>
      <c r="L9" s="255"/>
      <c r="M9" s="255"/>
      <c r="N9" s="255"/>
    </row>
    <row r="10" spans="1:14" x14ac:dyDescent="0.3">
      <c r="A10" s="663"/>
      <c r="B10" s="659"/>
      <c r="C10" s="659"/>
      <c r="D10" s="659"/>
      <c r="E10" s="659"/>
      <c r="F10" s="659"/>
      <c r="G10" s="659"/>
      <c r="H10" s="639"/>
      <c r="I10" s="659"/>
      <c r="J10" s="658"/>
      <c r="K10" s="255"/>
      <c r="L10" s="255"/>
      <c r="M10" s="255"/>
      <c r="N10" s="255"/>
    </row>
    <row r="11" spans="1:14" x14ac:dyDescent="0.3">
      <c r="A11" s="264" t="s">
        <v>413</v>
      </c>
      <c r="B11" s="257"/>
      <c r="C11" s="257" t="s">
        <v>435</v>
      </c>
      <c r="D11" s="257" t="s">
        <v>430</v>
      </c>
      <c r="E11" s="258">
        <v>277500</v>
      </c>
      <c r="F11" s="505">
        <v>77.739000000000004</v>
      </c>
      <c r="G11" s="408">
        <v>100</v>
      </c>
      <c r="H11" s="260">
        <v>277500</v>
      </c>
      <c r="I11" s="261">
        <v>77.739000000000004</v>
      </c>
      <c r="J11" s="262"/>
      <c r="K11" s="255" t="str">
        <f t="shared" ref="K11:K42" si="0">A11&amp;D11</f>
        <v>강원지방소나무포천시</v>
      </c>
      <c r="L11" s="255"/>
      <c r="M11" s="255" t="str">
        <f t="shared" ref="M11:M42" si="1">IF(K11=K10,"",K11)</f>
        <v>강원지방소나무포천시</v>
      </c>
      <c r="N11" s="410">
        <f t="shared" ref="N11:N42" si="2">I11</f>
        <v>77.739000000000004</v>
      </c>
    </row>
    <row r="12" spans="1:14" x14ac:dyDescent="0.3">
      <c r="A12" s="264" t="s">
        <v>413</v>
      </c>
      <c r="B12" s="257"/>
      <c r="C12" s="257" t="s">
        <v>436</v>
      </c>
      <c r="D12" s="257" t="s">
        <v>433</v>
      </c>
      <c r="E12" s="258">
        <v>225000</v>
      </c>
      <c r="F12" s="505">
        <v>14.395</v>
      </c>
      <c r="G12" s="408">
        <v>100</v>
      </c>
      <c r="H12" s="260">
        <v>225000</v>
      </c>
      <c r="I12" s="261">
        <v>14.395</v>
      </c>
      <c r="J12" s="263"/>
      <c r="K12" s="255" t="str">
        <f t="shared" si="0"/>
        <v>강원지방소나무순천시</v>
      </c>
      <c r="L12" s="255"/>
      <c r="M12" s="255" t="str">
        <f t="shared" si="1"/>
        <v>강원지방소나무순천시</v>
      </c>
      <c r="N12" s="410">
        <f t="shared" si="2"/>
        <v>14.395</v>
      </c>
    </row>
    <row r="13" spans="1:14" x14ac:dyDescent="0.3">
      <c r="A13" s="264" t="s">
        <v>413</v>
      </c>
      <c r="B13" s="257"/>
      <c r="C13" s="257" t="s">
        <v>437</v>
      </c>
      <c r="D13" s="257" t="s">
        <v>427</v>
      </c>
      <c r="E13" s="258">
        <v>183000</v>
      </c>
      <c r="F13" s="505">
        <v>204.93</v>
      </c>
      <c r="G13" s="408">
        <v>100</v>
      </c>
      <c r="H13" s="260">
        <v>183000</v>
      </c>
      <c r="I13" s="261">
        <v>204.93</v>
      </c>
      <c r="J13" s="263"/>
      <c r="K13" s="255" t="str">
        <f t="shared" si="0"/>
        <v>강원지방소나무영주시</v>
      </c>
      <c r="L13" s="255"/>
      <c r="M13" s="255" t="str">
        <f t="shared" si="1"/>
        <v>강원지방소나무영주시</v>
      </c>
      <c r="N13" s="410">
        <f t="shared" si="2"/>
        <v>204.93</v>
      </c>
    </row>
    <row r="14" spans="1:14" x14ac:dyDescent="0.3">
      <c r="A14" s="264" t="s">
        <v>416</v>
      </c>
      <c r="B14" s="257"/>
      <c r="C14" s="257" t="s">
        <v>438</v>
      </c>
      <c r="D14" s="257" t="s">
        <v>424</v>
      </c>
      <c r="E14" s="258">
        <v>54000</v>
      </c>
      <c r="F14" s="505">
        <v>28.986000000000001</v>
      </c>
      <c r="G14" s="408">
        <v>100</v>
      </c>
      <c r="H14" s="260">
        <v>54000</v>
      </c>
      <c r="I14" s="261">
        <v>28.986000000000001</v>
      </c>
      <c r="J14" s="263"/>
      <c r="K14" s="255" t="str">
        <f t="shared" si="0"/>
        <v>강원지방소나무 산업강릉시</v>
      </c>
      <c r="L14" s="255"/>
      <c r="M14" s="255" t="str">
        <f t="shared" si="1"/>
        <v>강원지방소나무 산업강릉시</v>
      </c>
      <c r="N14" s="410">
        <f t="shared" si="2"/>
        <v>28.986000000000001</v>
      </c>
    </row>
    <row r="15" spans="1:14" x14ac:dyDescent="0.3">
      <c r="A15" s="264" t="s">
        <v>418</v>
      </c>
      <c r="B15" s="257"/>
      <c r="C15" s="257" t="s">
        <v>436</v>
      </c>
      <c r="D15" s="257" t="s">
        <v>425</v>
      </c>
      <c r="E15" s="258">
        <v>165700</v>
      </c>
      <c r="F15" s="505">
        <v>7.391</v>
      </c>
      <c r="G15" s="408">
        <v>14.32</v>
      </c>
      <c r="H15" s="260">
        <v>160560</v>
      </c>
      <c r="I15" s="261">
        <v>51.597000000000001</v>
      </c>
      <c r="J15" s="263"/>
      <c r="K15" s="255" t="str">
        <f t="shared" si="0"/>
        <v>낙엽송삼척시</v>
      </c>
      <c r="L15" s="255"/>
      <c r="M15" s="255" t="str">
        <f t="shared" si="1"/>
        <v>낙엽송삼척시</v>
      </c>
      <c r="N15" s="410">
        <f t="shared" si="2"/>
        <v>51.597000000000001</v>
      </c>
    </row>
    <row r="16" spans="1:14" x14ac:dyDescent="0.3">
      <c r="A16" s="264" t="s">
        <v>418</v>
      </c>
      <c r="B16" s="257"/>
      <c r="C16" s="257" t="s">
        <v>437</v>
      </c>
      <c r="D16" s="257" t="s">
        <v>425</v>
      </c>
      <c r="E16" s="258">
        <v>159700</v>
      </c>
      <c r="F16" s="505">
        <v>44.206000000000003</v>
      </c>
      <c r="G16" s="408">
        <v>85.68</v>
      </c>
      <c r="H16" s="260"/>
      <c r="I16" s="261"/>
      <c r="J16" s="263"/>
      <c r="K16" s="255" t="str">
        <f t="shared" si="0"/>
        <v>낙엽송삼척시</v>
      </c>
      <c r="L16" s="255"/>
      <c r="M16" s="255" t="str">
        <f t="shared" si="1"/>
        <v/>
      </c>
      <c r="N16" s="410">
        <f t="shared" si="2"/>
        <v>0</v>
      </c>
    </row>
    <row r="17" spans="1:14" x14ac:dyDescent="0.3">
      <c r="A17" s="264" t="s">
        <v>419</v>
      </c>
      <c r="B17" s="257"/>
      <c r="C17" s="257" t="s">
        <v>438</v>
      </c>
      <c r="D17" s="257" t="s">
        <v>424</v>
      </c>
      <c r="E17" s="258">
        <v>54500</v>
      </c>
      <c r="F17" s="505">
        <v>17.503</v>
      </c>
      <c r="G17" s="408">
        <v>100</v>
      </c>
      <c r="H17" s="260">
        <v>54500</v>
      </c>
      <c r="I17" s="261">
        <v>17.503</v>
      </c>
      <c r="J17" s="263"/>
      <c r="K17" s="255" t="str">
        <f t="shared" si="0"/>
        <v>낙엽송 산업강릉시</v>
      </c>
      <c r="L17" s="255"/>
      <c r="M17" s="255" t="str">
        <f t="shared" si="1"/>
        <v>낙엽송 산업강릉시</v>
      </c>
      <c r="N17" s="410">
        <f t="shared" si="2"/>
        <v>17.503</v>
      </c>
    </row>
    <row r="18" spans="1:14" x14ac:dyDescent="0.3">
      <c r="A18" s="264" t="s">
        <v>420</v>
      </c>
      <c r="B18" s="257"/>
      <c r="C18" s="257" t="s">
        <v>438</v>
      </c>
      <c r="D18" s="258" t="s">
        <v>424</v>
      </c>
      <c r="E18" s="259">
        <v>61000</v>
      </c>
      <c r="F18" s="506">
        <v>1916.26</v>
      </c>
      <c r="G18" s="408">
        <v>100</v>
      </c>
      <c r="H18" s="260">
        <v>61000</v>
      </c>
      <c r="I18" s="261">
        <v>1916.26</v>
      </c>
      <c r="J18" s="263"/>
      <c r="K18" s="255" t="str">
        <f t="shared" si="0"/>
        <v>기타활엽수 산업강릉시</v>
      </c>
      <c r="L18" s="255"/>
      <c r="M18" s="255" t="str">
        <f t="shared" si="1"/>
        <v>기타활엽수 산업강릉시</v>
      </c>
      <c r="N18" s="410">
        <f t="shared" si="2"/>
        <v>1916.26</v>
      </c>
    </row>
    <row r="19" spans="1:14" x14ac:dyDescent="0.3">
      <c r="A19" s="264"/>
      <c r="B19" s="257"/>
      <c r="C19" s="257"/>
      <c r="D19" s="258"/>
      <c r="E19" s="259"/>
      <c r="F19" s="506"/>
      <c r="G19" s="408"/>
      <c r="H19" s="260"/>
      <c r="I19" s="261"/>
      <c r="J19" s="263"/>
      <c r="K19" s="255" t="str">
        <f t="shared" si="0"/>
        <v/>
      </c>
      <c r="L19" s="255"/>
      <c r="M19" s="255" t="str">
        <f t="shared" si="1"/>
        <v/>
      </c>
      <c r="N19" s="410">
        <f t="shared" si="2"/>
        <v>0</v>
      </c>
    </row>
    <row r="20" spans="1:14" x14ac:dyDescent="0.3">
      <c r="A20" s="264"/>
      <c r="B20" s="257"/>
      <c r="C20" s="257"/>
      <c r="D20" s="258"/>
      <c r="E20" s="259"/>
      <c r="F20" s="506"/>
      <c r="G20" s="408"/>
      <c r="H20" s="260"/>
      <c r="I20" s="261"/>
      <c r="J20" s="263"/>
      <c r="K20" s="255" t="str">
        <f t="shared" si="0"/>
        <v/>
      </c>
      <c r="L20" s="255"/>
      <c r="M20" s="255" t="str">
        <f t="shared" si="1"/>
        <v/>
      </c>
      <c r="N20" s="410">
        <f t="shared" si="2"/>
        <v>0</v>
      </c>
    </row>
    <row r="21" spans="1:14" x14ac:dyDescent="0.3">
      <c r="A21" s="264"/>
      <c r="B21" s="257"/>
      <c r="C21" s="257"/>
      <c r="D21" s="258"/>
      <c r="E21" s="259"/>
      <c r="F21" s="506"/>
      <c r="G21" s="408"/>
      <c r="H21" s="260"/>
      <c r="I21" s="261"/>
      <c r="J21" s="263"/>
      <c r="K21" s="255" t="str">
        <f t="shared" si="0"/>
        <v/>
      </c>
      <c r="L21" s="255"/>
      <c r="M21" s="255" t="str">
        <f t="shared" si="1"/>
        <v/>
      </c>
      <c r="N21" s="410">
        <f t="shared" si="2"/>
        <v>0</v>
      </c>
    </row>
    <row r="22" spans="1:14" x14ac:dyDescent="0.3">
      <c r="A22" s="264"/>
      <c r="B22" s="257"/>
      <c r="C22" s="257"/>
      <c r="D22" s="258"/>
      <c r="E22" s="259"/>
      <c r="F22" s="506"/>
      <c r="G22" s="408"/>
      <c r="H22" s="260"/>
      <c r="I22" s="261"/>
      <c r="J22" s="263"/>
      <c r="K22" s="255" t="str">
        <f t="shared" si="0"/>
        <v/>
      </c>
      <c r="L22" s="255"/>
      <c r="M22" s="255" t="str">
        <f t="shared" si="1"/>
        <v/>
      </c>
      <c r="N22" s="410">
        <f t="shared" si="2"/>
        <v>0</v>
      </c>
    </row>
    <row r="23" spans="1:14" x14ac:dyDescent="0.3">
      <c r="A23" s="264"/>
      <c r="B23" s="257"/>
      <c r="C23" s="257"/>
      <c r="D23" s="258"/>
      <c r="E23" s="259"/>
      <c r="F23" s="506"/>
      <c r="G23" s="408"/>
      <c r="H23" s="260"/>
      <c r="I23" s="261"/>
      <c r="J23" s="263"/>
      <c r="K23" s="255" t="str">
        <f t="shared" si="0"/>
        <v/>
      </c>
      <c r="L23" s="255"/>
      <c r="M23" s="255" t="str">
        <f t="shared" si="1"/>
        <v/>
      </c>
      <c r="N23" s="410">
        <f t="shared" si="2"/>
        <v>0</v>
      </c>
    </row>
    <row r="24" spans="1:14" x14ac:dyDescent="0.3">
      <c r="A24" s="264"/>
      <c r="B24" s="257"/>
      <c r="C24" s="257"/>
      <c r="D24" s="258"/>
      <c r="E24" s="259"/>
      <c r="F24" s="506"/>
      <c r="G24" s="408"/>
      <c r="H24" s="260"/>
      <c r="I24" s="261"/>
      <c r="J24" s="263"/>
      <c r="K24" s="255" t="str">
        <f t="shared" si="0"/>
        <v/>
      </c>
      <c r="L24" s="255"/>
      <c r="M24" s="255" t="str">
        <f t="shared" si="1"/>
        <v/>
      </c>
      <c r="N24" s="410">
        <f t="shared" si="2"/>
        <v>0</v>
      </c>
    </row>
    <row r="25" spans="1:14" x14ac:dyDescent="0.3">
      <c r="A25" s="264"/>
      <c r="B25" s="257"/>
      <c r="C25" s="257"/>
      <c r="D25" s="258"/>
      <c r="E25" s="259"/>
      <c r="F25" s="506"/>
      <c r="G25" s="408"/>
      <c r="H25" s="260"/>
      <c r="I25" s="261"/>
      <c r="J25" s="263"/>
      <c r="K25" s="255" t="str">
        <f t="shared" si="0"/>
        <v/>
      </c>
      <c r="L25" s="255"/>
      <c r="M25" s="255" t="str">
        <f t="shared" si="1"/>
        <v/>
      </c>
      <c r="N25" s="410">
        <f t="shared" si="2"/>
        <v>0</v>
      </c>
    </row>
    <row r="26" spans="1:14" x14ac:dyDescent="0.3">
      <c r="A26" s="264"/>
      <c r="B26" s="257"/>
      <c r="C26" s="257"/>
      <c r="D26" s="258"/>
      <c r="E26" s="259"/>
      <c r="F26" s="506"/>
      <c r="G26" s="408"/>
      <c r="H26" s="260"/>
      <c r="I26" s="261"/>
      <c r="J26" s="263"/>
      <c r="K26" s="255" t="str">
        <f t="shared" si="0"/>
        <v/>
      </c>
      <c r="L26" s="255"/>
      <c r="M26" s="255" t="str">
        <f t="shared" si="1"/>
        <v/>
      </c>
      <c r="N26" s="410">
        <f t="shared" si="2"/>
        <v>0</v>
      </c>
    </row>
    <row r="27" spans="1:14" x14ac:dyDescent="0.3">
      <c r="A27" s="264"/>
      <c r="B27" s="257"/>
      <c r="C27" s="257"/>
      <c r="D27" s="258"/>
      <c r="E27" s="259"/>
      <c r="F27" s="506"/>
      <c r="G27" s="408"/>
      <c r="H27" s="260"/>
      <c r="I27" s="261"/>
      <c r="J27" s="263"/>
      <c r="K27" s="255" t="str">
        <f t="shared" si="0"/>
        <v/>
      </c>
      <c r="L27" s="255"/>
      <c r="M27" s="255" t="str">
        <f t="shared" si="1"/>
        <v/>
      </c>
      <c r="N27" s="410">
        <f t="shared" si="2"/>
        <v>0</v>
      </c>
    </row>
    <row r="28" spans="1:14" x14ac:dyDescent="0.3">
      <c r="A28" s="264"/>
      <c r="B28" s="257"/>
      <c r="C28" s="257"/>
      <c r="D28" s="258"/>
      <c r="E28" s="259"/>
      <c r="F28" s="506"/>
      <c r="G28" s="408"/>
      <c r="H28" s="260"/>
      <c r="I28" s="261"/>
      <c r="J28" s="263"/>
      <c r="K28" s="255" t="str">
        <f t="shared" si="0"/>
        <v/>
      </c>
      <c r="L28" s="255"/>
      <c r="M28" s="255" t="str">
        <f t="shared" si="1"/>
        <v/>
      </c>
      <c r="N28" s="410">
        <f t="shared" si="2"/>
        <v>0</v>
      </c>
    </row>
    <row r="29" spans="1:14" x14ac:dyDescent="0.3">
      <c r="A29" s="264"/>
      <c r="B29" s="257"/>
      <c r="C29" s="257"/>
      <c r="D29" s="258"/>
      <c r="E29" s="259"/>
      <c r="F29" s="506"/>
      <c r="G29" s="408"/>
      <c r="H29" s="260"/>
      <c r="I29" s="261"/>
      <c r="J29" s="263"/>
      <c r="K29" s="255" t="str">
        <f t="shared" si="0"/>
        <v/>
      </c>
      <c r="L29" s="255"/>
      <c r="M29" s="255" t="str">
        <f t="shared" si="1"/>
        <v/>
      </c>
      <c r="N29" s="410">
        <f t="shared" si="2"/>
        <v>0</v>
      </c>
    </row>
    <row r="30" spans="1:14" x14ac:dyDescent="0.3">
      <c r="A30" s="264"/>
      <c r="B30" s="257"/>
      <c r="C30" s="257"/>
      <c r="D30" s="258"/>
      <c r="E30" s="259"/>
      <c r="F30" s="506"/>
      <c r="G30" s="408"/>
      <c r="H30" s="260"/>
      <c r="I30" s="261"/>
      <c r="J30" s="263"/>
      <c r="K30" s="255" t="str">
        <f t="shared" si="0"/>
        <v/>
      </c>
      <c r="L30" s="255"/>
      <c r="M30" s="255" t="str">
        <f t="shared" si="1"/>
        <v/>
      </c>
      <c r="N30" s="410">
        <f t="shared" si="2"/>
        <v>0</v>
      </c>
    </row>
    <row r="31" spans="1:14" x14ac:dyDescent="0.3">
      <c r="A31" s="264"/>
      <c r="B31" s="257"/>
      <c r="C31" s="257"/>
      <c r="D31" s="258"/>
      <c r="E31" s="259"/>
      <c r="F31" s="506"/>
      <c r="G31" s="408"/>
      <c r="H31" s="260"/>
      <c r="I31" s="261"/>
      <c r="J31" s="263"/>
      <c r="K31" s="255" t="str">
        <f t="shared" si="0"/>
        <v/>
      </c>
      <c r="L31" s="255"/>
      <c r="M31" s="255" t="str">
        <f t="shared" si="1"/>
        <v/>
      </c>
      <c r="N31" s="410">
        <f t="shared" si="2"/>
        <v>0</v>
      </c>
    </row>
    <row r="32" spans="1:14" x14ac:dyDescent="0.3">
      <c r="A32" s="264"/>
      <c r="B32" s="257"/>
      <c r="C32" s="257"/>
      <c r="D32" s="258"/>
      <c r="E32" s="259"/>
      <c r="F32" s="506"/>
      <c r="G32" s="408"/>
      <c r="H32" s="260"/>
      <c r="I32" s="261"/>
      <c r="J32" s="263"/>
      <c r="K32" s="255" t="str">
        <f t="shared" si="0"/>
        <v/>
      </c>
      <c r="L32" s="255"/>
      <c r="M32" s="255" t="str">
        <f t="shared" si="1"/>
        <v/>
      </c>
      <c r="N32" s="410">
        <f t="shared" si="2"/>
        <v>0</v>
      </c>
    </row>
    <row r="33" spans="1:14" x14ac:dyDescent="0.3">
      <c r="A33" s="264"/>
      <c r="B33" s="257"/>
      <c r="C33" s="257"/>
      <c r="D33" s="258"/>
      <c r="E33" s="259"/>
      <c r="F33" s="506"/>
      <c r="G33" s="408"/>
      <c r="H33" s="260"/>
      <c r="I33" s="261"/>
      <c r="J33" s="263"/>
      <c r="K33" s="255" t="str">
        <f t="shared" si="0"/>
        <v/>
      </c>
      <c r="L33" s="255"/>
      <c r="M33" s="255" t="str">
        <f t="shared" si="1"/>
        <v/>
      </c>
      <c r="N33" s="410">
        <f t="shared" si="2"/>
        <v>0</v>
      </c>
    </row>
    <row r="34" spans="1:14" x14ac:dyDescent="0.3">
      <c r="A34" s="264"/>
      <c r="B34" s="257"/>
      <c r="C34" s="257"/>
      <c r="D34" s="258"/>
      <c r="E34" s="259"/>
      <c r="F34" s="506"/>
      <c r="G34" s="408"/>
      <c r="H34" s="260"/>
      <c r="I34" s="261"/>
      <c r="J34" s="263"/>
      <c r="K34" s="255" t="str">
        <f t="shared" si="0"/>
        <v/>
      </c>
      <c r="L34" s="255"/>
      <c r="M34" s="255" t="str">
        <f t="shared" si="1"/>
        <v/>
      </c>
      <c r="N34" s="410">
        <f t="shared" si="2"/>
        <v>0</v>
      </c>
    </row>
    <row r="35" spans="1:14" x14ac:dyDescent="0.3">
      <c r="A35" s="264"/>
      <c r="B35" s="257"/>
      <c r="C35" s="257"/>
      <c r="D35" s="258"/>
      <c r="E35" s="259"/>
      <c r="F35" s="506"/>
      <c r="G35" s="408"/>
      <c r="H35" s="260"/>
      <c r="I35" s="261"/>
      <c r="J35" s="263"/>
      <c r="K35" s="255" t="str">
        <f t="shared" si="0"/>
        <v/>
      </c>
      <c r="L35" s="255"/>
      <c r="M35" s="255" t="str">
        <f t="shared" si="1"/>
        <v/>
      </c>
      <c r="N35" s="410">
        <f t="shared" si="2"/>
        <v>0</v>
      </c>
    </row>
    <row r="36" spans="1:14" x14ac:dyDescent="0.3">
      <c r="A36" s="264"/>
      <c r="B36" s="257"/>
      <c r="C36" s="257"/>
      <c r="D36" s="258"/>
      <c r="E36" s="259"/>
      <c r="F36" s="506"/>
      <c r="G36" s="408"/>
      <c r="H36" s="260"/>
      <c r="I36" s="261"/>
      <c r="J36" s="263"/>
      <c r="K36" s="255" t="str">
        <f t="shared" si="0"/>
        <v/>
      </c>
      <c r="L36" s="255"/>
      <c r="M36" s="255" t="str">
        <f t="shared" si="1"/>
        <v/>
      </c>
      <c r="N36" s="410">
        <f t="shared" si="2"/>
        <v>0</v>
      </c>
    </row>
    <row r="37" spans="1:14" x14ac:dyDescent="0.3">
      <c r="A37" s="264"/>
      <c r="B37" s="257"/>
      <c r="C37" s="257"/>
      <c r="D37" s="258"/>
      <c r="E37" s="259"/>
      <c r="F37" s="506"/>
      <c r="G37" s="408"/>
      <c r="H37" s="260"/>
      <c r="I37" s="261"/>
      <c r="J37" s="263"/>
      <c r="K37" s="255" t="str">
        <f t="shared" si="0"/>
        <v/>
      </c>
      <c r="L37" s="255"/>
      <c r="M37" s="255" t="str">
        <f t="shared" si="1"/>
        <v/>
      </c>
      <c r="N37" s="410">
        <f t="shared" si="2"/>
        <v>0</v>
      </c>
    </row>
    <row r="38" spans="1:14" x14ac:dyDescent="0.3">
      <c r="A38" s="264"/>
      <c r="B38" s="257"/>
      <c r="C38" s="257"/>
      <c r="D38" s="258"/>
      <c r="E38" s="259"/>
      <c r="F38" s="506"/>
      <c r="G38" s="408"/>
      <c r="H38" s="260"/>
      <c r="I38" s="261"/>
      <c r="J38" s="263"/>
      <c r="K38" s="255" t="str">
        <f t="shared" si="0"/>
        <v/>
      </c>
      <c r="L38" s="255"/>
      <c r="M38" s="255" t="str">
        <f t="shared" si="1"/>
        <v/>
      </c>
      <c r="N38" s="410">
        <f t="shared" si="2"/>
        <v>0</v>
      </c>
    </row>
    <row r="39" spans="1:14" x14ac:dyDescent="0.3">
      <c r="A39" s="264"/>
      <c r="B39" s="257"/>
      <c r="C39" s="257"/>
      <c r="D39" s="258"/>
      <c r="E39" s="259"/>
      <c r="F39" s="506"/>
      <c r="G39" s="408"/>
      <c r="H39" s="260"/>
      <c r="I39" s="261"/>
      <c r="J39" s="263"/>
      <c r="K39" s="255" t="str">
        <f t="shared" si="0"/>
        <v/>
      </c>
      <c r="L39" s="255"/>
      <c r="M39" s="255" t="str">
        <f t="shared" si="1"/>
        <v/>
      </c>
      <c r="N39" s="410">
        <f t="shared" si="2"/>
        <v>0</v>
      </c>
    </row>
    <row r="40" spans="1:14" x14ac:dyDescent="0.3">
      <c r="A40" s="264"/>
      <c r="B40" s="257"/>
      <c r="C40" s="257"/>
      <c r="D40" s="258"/>
      <c r="E40" s="259"/>
      <c r="F40" s="506"/>
      <c r="G40" s="408"/>
      <c r="H40" s="260"/>
      <c r="I40" s="261"/>
      <c r="J40" s="263"/>
      <c r="K40" s="255" t="str">
        <f t="shared" si="0"/>
        <v/>
      </c>
      <c r="L40" s="255"/>
      <c r="M40" s="255" t="str">
        <f t="shared" si="1"/>
        <v/>
      </c>
      <c r="N40" s="410">
        <f t="shared" si="2"/>
        <v>0</v>
      </c>
    </row>
    <row r="41" spans="1:14" x14ac:dyDescent="0.3">
      <c r="A41" s="264"/>
      <c r="B41" s="257"/>
      <c r="C41" s="257"/>
      <c r="D41" s="258"/>
      <c r="E41" s="259"/>
      <c r="F41" s="506"/>
      <c r="G41" s="408"/>
      <c r="H41" s="260"/>
      <c r="I41" s="261"/>
      <c r="J41" s="263"/>
      <c r="K41" s="255" t="str">
        <f t="shared" si="0"/>
        <v/>
      </c>
      <c r="L41" s="255"/>
      <c r="M41" s="255" t="str">
        <f t="shared" si="1"/>
        <v/>
      </c>
      <c r="N41" s="410">
        <f t="shared" si="2"/>
        <v>0</v>
      </c>
    </row>
    <row r="42" spans="1:14" x14ac:dyDescent="0.3">
      <c r="A42" s="264"/>
      <c r="B42" s="257"/>
      <c r="C42" s="257"/>
      <c r="D42" s="258"/>
      <c r="E42" s="259"/>
      <c r="F42" s="506"/>
      <c r="G42" s="408"/>
      <c r="H42" s="260"/>
      <c r="I42" s="261"/>
      <c r="J42" s="263"/>
      <c r="K42" s="255" t="str">
        <f t="shared" si="0"/>
        <v/>
      </c>
      <c r="L42" s="255"/>
      <c r="M42" s="255" t="str">
        <f t="shared" si="1"/>
        <v/>
      </c>
      <c r="N42" s="410">
        <f t="shared" si="2"/>
        <v>0</v>
      </c>
    </row>
    <row r="43" spans="1:14" x14ac:dyDescent="0.3">
      <c r="A43" s="264"/>
      <c r="B43" s="257"/>
      <c r="C43" s="257"/>
      <c r="D43" s="258"/>
      <c r="E43" s="259"/>
      <c r="F43" s="506"/>
      <c r="G43" s="408"/>
      <c r="H43" s="260"/>
      <c r="I43" s="261"/>
      <c r="J43" s="263"/>
      <c r="K43" s="255" t="str">
        <f t="shared" ref="K43:K74" si="3">A43&amp;D43</f>
        <v/>
      </c>
      <c r="L43" s="255"/>
      <c r="M43" s="255" t="str">
        <f t="shared" ref="M43:M74" si="4">IF(K43=K42,"",K43)</f>
        <v/>
      </c>
      <c r="N43" s="410">
        <f t="shared" ref="N43:N74" si="5">I43</f>
        <v>0</v>
      </c>
    </row>
    <row r="44" spans="1:14" x14ac:dyDescent="0.3">
      <c r="A44" s="264"/>
      <c r="B44" s="257"/>
      <c r="C44" s="257"/>
      <c r="D44" s="258"/>
      <c r="E44" s="259"/>
      <c r="F44" s="506"/>
      <c r="G44" s="408"/>
      <c r="H44" s="260"/>
      <c r="I44" s="261"/>
      <c r="J44" s="263"/>
      <c r="K44" s="255" t="str">
        <f t="shared" si="3"/>
        <v/>
      </c>
      <c r="L44" s="255"/>
      <c r="M44" s="255" t="str">
        <f t="shared" si="4"/>
        <v/>
      </c>
      <c r="N44" s="410">
        <f t="shared" si="5"/>
        <v>0</v>
      </c>
    </row>
    <row r="45" spans="1:14" x14ac:dyDescent="0.3">
      <c r="A45" s="264"/>
      <c r="B45" s="257"/>
      <c r="C45" s="257"/>
      <c r="D45" s="258"/>
      <c r="E45" s="259"/>
      <c r="F45" s="506"/>
      <c r="G45" s="408"/>
      <c r="H45" s="260"/>
      <c r="I45" s="261"/>
      <c r="J45" s="263"/>
      <c r="K45" s="255" t="str">
        <f t="shared" si="3"/>
        <v/>
      </c>
      <c r="L45" s="255"/>
      <c r="M45" s="255" t="str">
        <f t="shared" si="4"/>
        <v/>
      </c>
      <c r="N45" s="410">
        <f t="shared" si="5"/>
        <v>0</v>
      </c>
    </row>
    <row r="46" spans="1:14" x14ac:dyDescent="0.3">
      <c r="A46" s="264"/>
      <c r="B46" s="257"/>
      <c r="C46" s="257"/>
      <c r="D46" s="258"/>
      <c r="E46" s="259"/>
      <c r="F46" s="506"/>
      <c r="G46" s="408"/>
      <c r="H46" s="260"/>
      <c r="I46" s="261"/>
      <c r="J46" s="263"/>
      <c r="K46" s="255" t="str">
        <f t="shared" si="3"/>
        <v/>
      </c>
      <c r="L46" s="255"/>
      <c r="M46" s="255" t="str">
        <f t="shared" si="4"/>
        <v/>
      </c>
      <c r="N46" s="410">
        <f t="shared" si="5"/>
        <v>0</v>
      </c>
    </row>
    <row r="47" spans="1:14" x14ac:dyDescent="0.3">
      <c r="A47" s="264"/>
      <c r="B47" s="257"/>
      <c r="C47" s="257"/>
      <c r="D47" s="258"/>
      <c r="E47" s="259"/>
      <c r="F47" s="506"/>
      <c r="G47" s="408"/>
      <c r="H47" s="260"/>
      <c r="I47" s="261"/>
      <c r="J47" s="263"/>
      <c r="K47" s="255" t="str">
        <f t="shared" si="3"/>
        <v/>
      </c>
      <c r="L47" s="255"/>
      <c r="M47" s="255" t="str">
        <f t="shared" si="4"/>
        <v/>
      </c>
      <c r="N47" s="410">
        <f t="shared" si="5"/>
        <v>0</v>
      </c>
    </row>
    <row r="48" spans="1:14" x14ac:dyDescent="0.3">
      <c r="A48" s="264"/>
      <c r="B48" s="257"/>
      <c r="C48" s="257"/>
      <c r="D48" s="258"/>
      <c r="E48" s="259"/>
      <c r="F48" s="506"/>
      <c r="G48" s="408"/>
      <c r="H48" s="260"/>
      <c r="I48" s="261"/>
      <c r="J48" s="263"/>
      <c r="K48" s="255" t="str">
        <f t="shared" si="3"/>
        <v/>
      </c>
      <c r="L48" s="255"/>
      <c r="M48" s="255" t="str">
        <f t="shared" si="4"/>
        <v/>
      </c>
      <c r="N48" s="410">
        <f t="shared" si="5"/>
        <v>0</v>
      </c>
    </row>
    <row r="49" spans="1:14" x14ac:dyDescent="0.3">
      <c r="A49" s="264"/>
      <c r="B49" s="257"/>
      <c r="C49" s="257"/>
      <c r="D49" s="258"/>
      <c r="E49" s="259"/>
      <c r="F49" s="506"/>
      <c r="G49" s="408"/>
      <c r="H49" s="260"/>
      <c r="I49" s="261"/>
      <c r="J49" s="263"/>
      <c r="K49" s="255" t="str">
        <f t="shared" si="3"/>
        <v/>
      </c>
      <c r="L49" s="255"/>
      <c r="M49" s="255" t="str">
        <f t="shared" si="4"/>
        <v/>
      </c>
      <c r="N49" s="410">
        <f t="shared" si="5"/>
        <v>0</v>
      </c>
    </row>
    <row r="50" spans="1:14" x14ac:dyDescent="0.3">
      <c r="A50" s="264"/>
      <c r="B50" s="257"/>
      <c r="C50" s="257"/>
      <c r="D50" s="258"/>
      <c r="E50" s="259"/>
      <c r="F50" s="506"/>
      <c r="G50" s="408"/>
      <c r="H50" s="260"/>
      <c r="I50" s="261"/>
      <c r="J50" s="263"/>
      <c r="K50" s="255" t="str">
        <f t="shared" si="3"/>
        <v/>
      </c>
      <c r="L50" s="255"/>
      <c r="M50" s="255" t="str">
        <f t="shared" si="4"/>
        <v/>
      </c>
      <c r="N50" s="410">
        <f t="shared" si="5"/>
        <v>0</v>
      </c>
    </row>
    <row r="51" spans="1:14" x14ac:dyDescent="0.3">
      <c r="A51" s="264"/>
      <c r="B51" s="257"/>
      <c r="C51" s="257"/>
      <c r="D51" s="258"/>
      <c r="E51" s="259"/>
      <c r="F51" s="506"/>
      <c r="G51" s="408"/>
      <c r="H51" s="260"/>
      <c r="I51" s="261"/>
      <c r="J51" s="263"/>
      <c r="K51" s="255" t="str">
        <f t="shared" si="3"/>
        <v/>
      </c>
      <c r="L51" s="255"/>
      <c r="M51" s="255" t="str">
        <f t="shared" si="4"/>
        <v/>
      </c>
      <c r="N51" s="410">
        <f t="shared" si="5"/>
        <v>0</v>
      </c>
    </row>
    <row r="52" spans="1:14" x14ac:dyDescent="0.3">
      <c r="A52" s="264"/>
      <c r="B52" s="257"/>
      <c r="C52" s="257"/>
      <c r="D52" s="258"/>
      <c r="E52" s="259"/>
      <c r="F52" s="506"/>
      <c r="G52" s="408"/>
      <c r="H52" s="260"/>
      <c r="I52" s="261"/>
      <c r="J52" s="263"/>
      <c r="K52" s="255" t="str">
        <f t="shared" si="3"/>
        <v/>
      </c>
      <c r="L52" s="255"/>
      <c r="M52" s="255" t="str">
        <f t="shared" si="4"/>
        <v/>
      </c>
      <c r="N52" s="410">
        <f t="shared" si="5"/>
        <v>0</v>
      </c>
    </row>
    <row r="53" spans="1:14" x14ac:dyDescent="0.3">
      <c r="A53" s="264"/>
      <c r="B53" s="257"/>
      <c r="C53" s="257"/>
      <c r="D53" s="258"/>
      <c r="E53" s="259"/>
      <c r="F53" s="506"/>
      <c r="G53" s="408"/>
      <c r="H53" s="260"/>
      <c r="I53" s="261"/>
      <c r="J53" s="263"/>
      <c r="K53" s="255" t="str">
        <f t="shared" si="3"/>
        <v/>
      </c>
      <c r="L53" s="255"/>
      <c r="M53" s="255" t="str">
        <f t="shared" si="4"/>
        <v/>
      </c>
      <c r="N53" s="410">
        <f t="shared" si="5"/>
        <v>0</v>
      </c>
    </row>
    <row r="54" spans="1:14" x14ac:dyDescent="0.3">
      <c r="A54" s="264"/>
      <c r="B54" s="257"/>
      <c r="C54" s="257"/>
      <c r="D54" s="258"/>
      <c r="E54" s="265"/>
      <c r="F54" s="506"/>
      <c r="G54" s="408"/>
      <c r="H54" s="260"/>
      <c r="I54" s="261"/>
      <c r="J54" s="263"/>
      <c r="K54" s="255" t="str">
        <f t="shared" si="3"/>
        <v/>
      </c>
      <c r="L54" s="255"/>
      <c r="M54" s="255" t="str">
        <f t="shared" si="4"/>
        <v/>
      </c>
      <c r="N54" s="410">
        <f t="shared" si="5"/>
        <v>0</v>
      </c>
    </row>
    <row r="55" spans="1:14" x14ac:dyDescent="0.3">
      <c r="A55" s="264"/>
      <c r="B55" s="257"/>
      <c r="C55" s="257"/>
      <c r="D55" s="258"/>
      <c r="E55" s="259"/>
      <c r="F55" s="506"/>
      <c r="G55" s="408"/>
      <c r="H55" s="260"/>
      <c r="I55" s="261"/>
      <c r="J55" s="263"/>
      <c r="K55" s="255" t="str">
        <f t="shared" si="3"/>
        <v/>
      </c>
      <c r="L55" s="255"/>
      <c r="M55" s="255" t="str">
        <f t="shared" si="4"/>
        <v/>
      </c>
      <c r="N55" s="410">
        <f t="shared" si="5"/>
        <v>0</v>
      </c>
    </row>
    <row r="56" spans="1:14" x14ac:dyDescent="0.3">
      <c r="A56" s="264"/>
      <c r="B56" s="257"/>
      <c r="C56" s="257"/>
      <c r="D56" s="258"/>
      <c r="E56" s="259"/>
      <c r="F56" s="506"/>
      <c r="G56" s="408"/>
      <c r="H56" s="260"/>
      <c r="I56" s="261"/>
      <c r="J56" s="263"/>
      <c r="K56" s="255" t="str">
        <f t="shared" si="3"/>
        <v/>
      </c>
      <c r="L56" s="255"/>
      <c r="M56" s="255" t="str">
        <f t="shared" si="4"/>
        <v/>
      </c>
      <c r="N56" s="410">
        <f t="shared" si="5"/>
        <v>0</v>
      </c>
    </row>
    <row r="57" spans="1:14" x14ac:dyDescent="0.3">
      <c r="A57" s="264"/>
      <c r="B57" s="257"/>
      <c r="C57" s="257"/>
      <c r="D57" s="258"/>
      <c r="E57" s="259"/>
      <c r="F57" s="506"/>
      <c r="G57" s="408"/>
      <c r="H57" s="260"/>
      <c r="I57" s="261"/>
      <c r="J57" s="263"/>
      <c r="K57" s="255" t="str">
        <f t="shared" si="3"/>
        <v/>
      </c>
      <c r="L57" s="255"/>
      <c r="M57" s="255" t="str">
        <f t="shared" si="4"/>
        <v/>
      </c>
      <c r="N57" s="410">
        <f t="shared" si="5"/>
        <v>0</v>
      </c>
    </row>
    <row r="58" spans="1:14" x14ac:dyDescent="0.3">
      <c r="A58" s="264"/>
      <c r="B58" s="257"/>
      <c r="C58" s="257"/>
      <c r="D58" s="258"/>
      <c r="E58" s="259"/>
      <c r="F58" s="506"/>
      <c r="G58" s="408"/>
      <c r="H58" s="260"/>
      <c r="I58" s="261"/>
      <c r="J58" s="263"/>
      <c r="K58" s="255" t="str">
        <f t="shared" si="3"/>
        <v/>
      </c>
      <c r="L58" s="255"/>
      <c r="M58" s="255" t="str">
        <f t="shared" si="4"/>
        <v/>
      </c>
      <c r="N58" s="410">
        <f t="shared" si="5"/>
        <v>0</v>
      </c>
    </row>
    <row r="59" spans="1:14" x14ac:dyDescent="0.3">
      <c r="A59" s="264"/>
      <c r="B59" s="257"/>
      <c r="C59" s="257"/>
      <c r="D59" s="258"/>
      <c r="E59" s="259"/>
      <c r="F59" s="506"/>
      <c r="G59" s="408"/>
      <c r="H59" s="260"/>
      <c r="I59" s="261"/>
      <c r="J59" s="263"/>
      <c r="K59" s="255" t="str">
        <f t="shared" si="3"/>
        <v/>
      </c>
      <c r="L59" s="255"/>
      <c r="M59" s="255" t="str">
        <f t="shared" si="4"/>
        <v/>
      </c>
      <c r="N59" s="410">
        <f t="shared" si="5"/>
        <v>0</v>
      </c>
    </row>
    <row r="60" spans="1:14" x14ac:dyDescent="0.3">
      <c r="A60" s="264"/>
      <c r="B60" s="257"/>
      <c r="C60" s="257"/>
      <c r="D60" s="258"/>
      <c r="E60" s="259"/>
      <c r="F60" s="506"/>
      <c r="G60" s="408"/>
      <c r="H60" s="260"/>
      <c r="I60" s="261"/>
      <c r="J60" s="263"/>
      <c r="K60" s="255" t="str">
        <f t="shared" si="3"/>
        <v/>
      </c>
      <c r="L60" s="255"/>
      <c r="M60" s="255" t="str">
        <f t="shared" si="4"/>
        <v/>
      </c>
      <c r="N60" s="410">
        <f t="shared" si="5"/>
        <v>0</v>
      </c>
    </row>
    <row r="61" spans="1:14" x14ac:dyDescent="0.3">
      <c r="A61" s="264"/>
      <c r="B61" s="257"/>
      <c r="C61" s="257"/>
      <c r="D61" s="258"/>
      <c r="E61" s="259"/>
      <c r="F61" s="506"/>
      <c r="G61" s="408"/>
      <c r="H61" s="260"/>
      <c r="I61" s="261"/>
      <c r="J61" s="263"/>
      <c r="K61" s="255" t="str">
        <f t="shared" si="3"/>
        <v/>
      </c>
      <c r="L61" s="255"/>
      <c r="M61" s="255" t="str">
        <f t="shared" si="4"/>
        <v/>
      </c>
      <c r="N61" s="410">
        <f t="shared" si="5"/>
        <v>0</v>
      </c>
    </row>
    <row r="62" spans="1:14" x14ac:dyDescent="0.3">
      <c r="A62" s="264"/>
      <c r="B62" s="257"/>
      <c r="C62" s="257"/>
      <c r="D62" s="258"/>
      <c r="E62" s="259"/>
      <c r="F62" s="506"/>
      <c r="G62" s="408"/>
      <c r="H62" s="260"/>
      <c r="I62" s="261"/>
      <c r="J62" s="263"/>
      <c r="K62" s="255" t="str">
        <f t="shared" si="3"/>
        <v/>
      </c>
      <c r="L62" s="255"/>
      <c r="M62" s="255" t="str">
        <f t="shared" si="4"/>
        <v/>
      </c>
      <c r="N62" s="410">
        <f t="shared" si="5"/>
        <v>0</v>
      </c>
    </row>
    <row r="63" spans="1:14" x14ac:dyDescent="0.3">
      <c r="A63" s="264"/>
      <c r="B63" s="257"/>
      <c r="C63" s="257"/>
      <c r="D63" s="258"/>
      <c r="E63" s="259"/>
      <c r="F63" s="506"/>
      <c r="G63" s="408"/>
      <c r="H63" s="260"/>
      <c r="I63" s="261"/>
      <c r="J63" s="263"/>
      <c r="K63" s="255" t="str">
        <f t="shared" si="3"/>
        <v/>
      </c>
      <c r="L63" s="255"/>
      <c r="M63" s="255" t="str">
        <f t="shared" si="4"/>
        <v/>
      </c>
      <c r="N63" s="410">
        <f t="shared" si="5"/>
        <v>0</v>
      </c>
    </row>
    <row r="64" spans="1:14" x14ac:dyDescent="0.3">
      <c r="A64" s="264"/>
      <c r="B64" s="257"/>
      <c r="C64" s="257"/>
      <c r="D64" s="258"/>
      <c r="E64" s="259"/>
      <c r="F64" s="506"/>
      <c r="G64" s="408"/>
      <c r="H64" s="260"/>
      <c r="I64" s="261"/>
      <c r="J64" s="263"/>
      <c r="K64" s="255" t="str">
        <f t="shared" si="3"/>
        <v/>
      </c>
      <c r="L64" s="255"/>
      <c r="M64" s="255" t="str">
        <f t="shared" si="4"/>
        <v/>
      </c>
      <c r="N64" s="410">
        <f t="shared" si="5"/>
        <v>0</v>
      </c>
    </row>
    <row r="65" spans="1:14" x14ac:dyDescent="0.3">
      <c r="A65" s="264"/>
      <c r="B65" s="257"/>
      <c r="C65" s="257"/>
      <c r="D65" s="258"/>
      <c r="E65" s="259"/>
      <c r="F65" s="506"/>
      <c r="G65" s="408"/>
      <c r="H65" s="260"/>
      <c r="I65" s="261"/>
      <c r="J65" s="263"/>
      <c r="K65" s="255" t="str">
        <f t="shared" si="3"/>
        <v/>
      </c>
      <c r="L65" s="255"/>
      <c r="M65" s="255" t="str">
        <f t="shared" si="4"/>
        <v/>
      </c>
      <c r="N65" s="410">
        <f t="shared" si="5"/>
        <v>0</v>
      </c>
    </row>
    <row r="66" spans="1:14" x14ac:dyDescent="0.3">
      <c r="A66" s="264"/>
      <c r="B66" s="257"/>
      <c r="C66" s="257"/>
      <c r="D66" s="258"/>
      <c r="E66" s="259"/>
      <c r="F66" s="506"/>
      <c r="G66" s="408"/>
      <c r="H66" s="260"/>
      <c r="I66" s="261"/>
      <c r="J66" s="263"/>
      <c r="K66" s="255" t="str">
        <f t="shared" si="3"/>
        <v/>
      </c>
      <c r="L66" s="255"/>
      <c r="M66" s="255" t="str">
        <f t="shared" si="4"/>
        <v/>
      </c>
      <c r="N66" s="410">
        <f t="shared" si="5"/>
        <v>0</v>
      </c>
    </row>
    <row r="67" spans="1:14" x14ac:dyDescent="0.3">
      <c r="A67" s="264"/>
      <c r="B67" s="257"/>
      <c r="C67" s="257"/>
      <c r="D67" s="258"/>
      <c r="E67" s="259"/>
      <c r="F67" s="506"/>
      <c r="G67" s="408"/>
      <c r="H67" s="260"/>
      <c r="I67" s="261"/>
      <c r="J67" s="263"/>
      <c r="K67" s="255" t="str">
        <f t="shared" si="3"/>
        <v/>
      </c>
      <c r="L67" s="255"/>
      <c r="M67" s="255" t="str">
        <f t="shared" si="4"/>
        <v/>
      </c>
      <c r="N67" s="410">
        <f t="shared" si="5"/>
        <v>0</v>
      </c>
    </row>
    <row r="68" spans="1:14" x14ac:dyDescent="0.3">
      <c r="A68" s="264"/>
      <c r="B68" s="257"/>
      <c r="C68" s="257"/>
      <c r="D68" s="258"/>
      <c r="E68" s="259"/>
      <c r="F68" s="506"/>
      <c r="G68" s="408"/>
      <c r="H68" s="260"/>
      <c r="I68" s="261"/>
      <c r="J68" s="263"/>
      <c r="K68" s="255" t="str">
        <f t="shared" si="3"/>
        <v/>
      </c>
      <c r="L68" s="255"/>
      <c r="M68" s="255" t="str">
        <f t="shared" si="4"/>
        <v/>
      </c>
      <c r="N68" s="410">
        <f t="shared" si="5"/>
        <v>0</v>
      </c>
    </row>
    <row r="69" spans="1:14" x14ac:dyDescent="0.3">
      <c r="A69" s="264"/>
      <c r="B69" s="257"/>
      <c r="C69" s="257"/>
      <c r="D69" s="258"/>
      <c r="E69" s="259"/>
      <c r="F69" s="506"/>
      <c r="G69" s="408"/>
      <c r="H69" s="260"/>
      <c r="I69" s="261"/>
      <c r="J69" s="263"/>
      <c r="K69" s="255" t="str">
        <f t="shared" si="3"/>
        <v/>
      </c>
      <c r="L69" s="255"/>
      <c r="M69" s="255" t="str">
        <f t="shared" si="4"/>
        <v/>
      </c>
      <c r="N69" s="410">
        <f t="shared" si="5"/>
        <v>0</v>
      </c>
    </row>
    <row r="70" spans="1:14" x14ac:dyDescent="0.3">
      <c r="A70" s="264"/>
      <c r="B70" s="257"/>
      <c r="C70" s="257"/>
      <c r="D70" s="258"/>
      <c r="E70" s="259"/>
      <c r="F70" s="506"/>
      <c r="G70" s="408"/>
      <c r="H70" s="260"/>
      <c r="I70" s="261"/>
      <c r="J70" s="263"/>
      <c r="K70" s="255" t="str">
        <f t="shared" si="3"/>
        <v/>
      </c>
      <c r="L70" s="255"/>
      <c r="M70" s="255" t="str">
        <f t="shared" si="4"/>
        <v/>
      </c>
      <c r="N70" s="410">
        <f t="shared" si="5"/>
        <v>0</v>
      </c>
    </row>
    <row r="71" spans="1:14" x14ac:dyDescent="0.3">
      <c r="A71" s="264"/>
      <c r="B71" s="257"/>
      <c r="C71" s="257"/>
      <c r="D71" s="258"/>
      <c r="E71" s="259"/>
      <c r="F71" s="506"/>
      <c r="G71" s="408"/>
      <c r="H71" s="260"/>
      <c r="I71" s="261"/>
      <c r="J71" s="263"/>
      <c r="K71" s="255" t="str">
        <f t="shared" si="3"/>
        <v/>
      </c>
      <c r="L71" s="255"/>
      <c r="M71" s="255" t="str">
        <f t="shared" si="4"/>
        <v/>
      </c>
      <c r="N71" s="410">
        <f t="shared" si="5"/>
        <v>0</v>
      </c>
    </row>
    <row r="72" spans="1:14" x14ac:dyDescent="0.3">
      <c r="A72" s="264"/>
      <c r="B72" s="257"/>
      <c r="C72" s="257"/>
      <c r="D72" s="258"/>
      <c r="E72" s="259"/>
      <c r="F72" s="506"/>
      <c r="G72" s="408"/>
      <c r="H72" s="260"/>
      <c r="I72" s="261"/>
      <c r="J72" s="263"/>
      <c r="K72" s="255" t="str">
        <f t="shared" si="3"/>
        <v/>
      </c>
      <c r="L72" s="255"/>
      <c r="M72" s="255" t="str">
        <f t="shared" si="4"/>
        <v/>
      </c>
      <c r="N72" s="410">
        <f t="shared" si="5"/>
        <v>0</v>
      </c>
    </row>
    <row r="73" spans="1:14" x14ac:dyDescent="0.3">
      <c r="A73" s="264"/>
      <c r="B73" s="257"/>
      <c r="C73" s="257"/>
      <c r="D73" s="258"/>
      <c r="E73" s="259"/>
      <c r="F73" s="506"/>
      <c r="G73" s="408"/>
      <c r="H73" s="260"/>
      <c r="I73" s="261"/>
      <c r="J73" s="263"/>
      <c r="K73" s="255" t="str">
        <f t="shared" si="3"/>
        <v/>
      </c>
      <c r="L73" s="255"/>
      <c r="M73" s="255" t="str">
        <f t="shared" si="4"/>
        <v/>
      </c>
      <c r="N73" s="410">
        <f t="shared" si="5"/>
        <v>0</v>
      </c>
    </row>
    <row r="74" spans="1:14" x14ac:dyDescent="0.3">
      <c r="A74" s="264"/>
      <c r="B74" s="257"/>
      <c r="C74" s="257"/>
      <c r="D74" s="258"/>
      <c r="E74" s="259"/>
      <c r="F74" s="506"/>
      <c r="G74" s="408"/>
      <c r="H74" s="260"/>
      <c r="I74" s="261"/>
      <c r="J74" s="263"/>
      <c r="K74" s="255" t="str">
        <f t="shared" si="3"/>
        <v/>
      </c>
      <c r="L74" s="255"/>
      <c r="M74" s="255" t="str">
        <f t="shared" si="4"/>
        <v/>
      </c>
      <c r="N74" s="410">
        <f t="shared" si="5"/>
        <v>0</v>
      </c>
    </row>
    <row r="75" spans="1:14" x14ac:dyDescent="0.3">
      <c r="A75" s="264"/>
      <c r="B75" s="257"/>
      <c r="C75" s="257"/>
      <c r="D75" s="258"/>
      <c r="E75" s="259"/>
      <c r="F75" s="506"/>
      <c r="G75" s="408"/>
      <c r="H75" s="260"/>
      <c r="I75" s="261"/>
      <c r="J75" s="263"/>
      <c r="K75" s="255" t="str">
        <f t="shared" ref="K75:K106" si="6">A75&amp;D75</f>
        <v/>
      </c>
      <c r="L75" s="255"/>
      <c r="M75" s="255" t="str">
        <f t="shared" ref="M75:M106" si="7">IF(K75=K74,"",K75)</f>
        <v/>
      </c>
      <c r="N75" s="410">
        <f t="shared" ref="N75:N106" si="8">I75</f>
        <v>0</v>
      </c>
    </row>
    <row r="76" spans="1:14" x14ac:dyDescent="0.3">
      <c r="A76" s="264"/>
      <c r="B76" s="257"/>
      <c r="C76" s="257"/>
      <c r="D76" s="258"/>
      <c r="E76" s="259"/>
      <c r="F76" s="506"/>
      <c r="G76" s="408"/>
      <c r="H76" s="260"/>
      <c r="I76" s="261"/>
      <c r="J76" s="263"/>
      <c r="K76" s="255" t="str">
        <f t="shared" si="6"/>
        <v/>
      </c>
      <c r="L76" s="255"/>
      <c r="M76" s="255" t="str">
        <f t="shared" si="7"/>
        <v/>
      </c>
      <c r="N76" s="410">
        <f t="shared" si="8"/>
        <v>0</v>
      </c>
    </row>
    <row r="77" spans="1:14" x14ac:dyDescent="0.3">
      <c r="A77" s="264"/>
      <c r="B77" s="257"/>
      <c r="C77" s="257"/>
      <c r="D77" s="258"/>
      <c r="E77" s="259"/>
      <c r="F77" s="506"/>
      <c r="G77" s="408"/>
      <c r="H77" s="260"/>
      <c r="I77" s="261"/>
      <c r="J77" s="263"/>
      <c r="K77" s="255" t="str">
        <f t="shared" si="6"/>
        <v/>
      </c>
      <c r="L77" s="255"/>
      <c r="M77" s="255" t="str">
        <f t="shared" si="7"/>
        <v/>
      </c>
      <c r="N77" s="410">
        <f t="shared" si="8"/>
        <v>0</v>
      </c>
    </row>
    <row r="78" spans="1:14" x14ac:dyDescent="0.3">
      <c r="A78" s="264"/>
      <c r="B78" s="257"/>
      <c r="C78" s="257"/>
      <c r="D78" s="258"/>
      <c r="E78" s="259"/>
      <c r="F78" s="506"/>
      <c r="G78" s="408"/>
      <c r="H78" s="260"/>
      <c r="I78" s="261"/>
      <c r="J78" s="263"/>
      <c r="K78" s="255" t="str">
        <f t="shared" si="6"/>
        <v/>
      </c>
      <c r="L78" s="255"/>
      <c r="M78" s="255" t="str">
        <f t="shared" si="7"/>
        <v/>
      </c>
      <c r="N78" s="410">
        <f t="shared" si="8"/>
        <v>0</v>
      </c>
    </row>
    <row r="79" spans="1:14" x14ac:dyDescent="0.3">
      <c r="A79" s="264"/>
      <c r="B79" s="257"/>
      <c r="C79" s="257"/>
      <c r="D79" s="258"/>
      <c r="E79" s="259"/>
      <c r="F79" s="506"/>
      <c r="G79" s="408"/>
      <c r="H79" s="260"/>
      <c r="I79" s="261"/>
      <c r="J79" s="263"/>
      <c r="K79" s="255" t="str">
        <f t="shared" si="6"/>
        <v/>
      </c>
      <c r="L79" s="255"/>
      <c r="M79" s="255" t="str">
        <f t="shared" si="7"/>
        <v/>
      </c>
      <c r="N79" s="410">
        <f t="shared" si="8"/>
        <v>0</v>
      </c>
    </row>
    <row r="80" spans="1:14" x14ac:dyDescent="0.3">
      <c r="A80" s="264"/>
      <c r="B80" s="257"/>
      <c r="C80" s="257"/>
      <c r="D80" s="258"/>
      <c r="E80" s="259"/>
      <c r="F80" s="506"/>
      <c r="G80" s="408"/>
      <c r="H80" s="260"/>
      <c r="I80" s="261"/>
      <c r="J80" s="263"/>
      <c r="K80" s="255" t="str">
        <f t="shared" si="6"/>
        <v/>
      </c>
      <c r="L80" s="255"/>
      <c r="M80" s="255" t="str">
        <f t="shared" si="7"/>
        <v/>
      </c>
      <c r="N80" s="410">
        <f t="shared" si="8"/>
        <v>0</v>
      </c>
    </row>
    <row r="81" spans="1:14" x14ac:dyDescent="0.3">
      <c r="A81" s="264"/>
      <c r="B81" s="257"/>
      <c r="C81" s="257"/>
      <c r="D81" s="258"/>
      <c r="E81" s="259"/>
      <c r="F81" s="506"/>
      <c r="G81" s="408"/>
      <c r="H81" s="260"/>
      <c r="I81" s="261"/>
      <c r="J81" s="263"/>
      <c r="K81" s="255" t="str">
        <f t="shared" si="6"/>
        <v/>
      </c>
      <c r="L81" s="255"/>
      <c r="M81" s="255" t="str">
        <f t="shared" si="7"/>
        <v/>
      </c>
      <c r="N81" s="410">
        <f t="shared" si="8"/>
        <v>0</v>
      </c>
    </row>
    <row r="82" spans="1:14" x14ac:dyDescent="0.3">
      <c r="A82" s="264"/>
      <c r="B82" s="257"/>
      <c r="C82" s="257"/>
      <c r="D82" s="258"/>
      <c r="E82" s="259"/>
      <c r="F82" s="506"/>
      <c r="G82" s="408"/>
      <c r="H82" s="260"/>
      <c r="I82" s="261"/>
      <c r="J82" s="263"/>
      <c r="K82" s="255" t="str">
        <f t="shared" si="6"/>
        <v/>
      </c>
      <c r="L82" s="255"/>
      <c r="M82" s="255" t="str">
        <f t="shared" si="7"/>
        <v/>
      </c>
      <c r="N82" s="410">
        <f t="shared" si="8"/>
        <v>0</v>
      </c>
    </row>
    <row r="83" spans="1:14" x14ac:dyDescent="0.3">
      <c r="A83" s="264"/>
      <c r="B83" s="257"/>
      <c r="C83" s="257"/>
      <c r="D83" s="258"/>
      <c r="E83" s="259"/>
      <c r="F83" s="506"/>
      <c r="G83" s="408"/>
      <c r="H83" s="260"/>
      <c r="I83" s="261"/>
      <c r="J83" s="263"/>
      <c r="K83" s="255" t="str">
        <f t="shared" si="6"/>
        <v/>
      </c>
      <c r="L83" s="255"/>
      <c r="M83" s="255" t="str">
        <f t="shared" si="7"/>
        <v/>
      </c>
      <c r="N83" s="410">
        <f t="shared" si="8"/>
        <v>0</v>
      </c>
    </row>
    <row r="84" spans="1:14" x14ac:dyDescent="0.3">
      <c r="A84" s="264"/>
      <c r="B84" s="257"/>
      <c r="C84" s="257"/>
      <c r="D84" s="258"/>
      <c r="E84" s="259"/>
      <c r="F84" s="506"/>
      <c r="G84" s="408"/>
      <c r="H84" s="260"/>
      <c r="I84" s="261"/>
      <c r="J84" s="263"/>
      <c r="K84" s="255" t="str">
        <f t="shared" si="6"/>
        <v/>
      </c>
      <c r="L84" s="255"/>
      <c r="M84" s="255" t="str">
        <f t="shared" si="7"/>
        <v/>
      </c>
      <c r="N84" s="410">
        <f t="shared" si="8"/>
        <v>0</v>
      </c>
    </row>
    <row r="85" spans="1:14" x14ac:dyDescent="0.3">
      <c r="A85" s="264"/>
      <c r="B85" s="257"/>
      <c r="C85" s="257"/>
      <c r="D85" s="258"/>
      <c r="E85" s="259"/>
      <c r="F85" s="506"/>
      <c r="G85" s="408"/>
      <c r="H85" s="260"/>
      <c r="I85" s="261"/>
      <c r="J85" s="263"/>
      <c r="K85" s="255" t="str">
        <f t="shared" si="6"/>
        <v/>
      </c>
      <c r="L85" s="255"/>
      <c r="M85" s="255" t="str">
        <f t="shared" si="7"/>
        <v/>
      </c>
      <c r="N85" s="410">
        <f t="shared" si="8"/>
        <v>0</v>
      </c>
    </row>
    <row r="86" spans="1:14" x14ac:dyDescent="0.3">
      <c r="A86" s="264"/>
      <c r="B86" s="257"/>
      <c r="C86" s="257"/>
      <c r="D86" s="258"/>
      <c r="E86" s="259"/>
      <c r="F86" s="506"/>
      <c r="G86" s="408"/>
      <c r="H86" s="260"/>
      <c r="I86" s="261"/>
      <c r="J86" s="263"/>
      <c r="K86" s="255" t="str">
        <f t="shared" si="6"/>
        <v/>
      </c>
      <c r="L86" s="255"/>
      <c r="M86" s="255" t="str">
        <f t="shared" si="7"/>
        <v/>
      </c>
      <c r="N86" s="410">
        <f t="shared" si="8"/>
        <v>0</v>
      </c>
    </row>
    <row r="87" spans="1:14" x14ac:dyDescent="0.3">
      <c r="A87" s="264"/>
      <c r="B87" s="257"/>
      <c r="C87" s="257"/>
      <c r="D87" s="258"/>
      <c r="E87" s="259"/>
      <c r="F87" s="506"/>
      <c r="G87" s="408"/>
      <c r="H87" s="260"/>
      <c r="I87" s="261"/>
      <c r="J87" s="263"/>
      <c r="K87" s="255" t="str">
        <f t="shared" si="6"/>
        <v/>
      </c>
      <c r="L87" s="255"/>
      <c r="M87" s="255" t="str">
        <f t="shared" si="7"/>
        <v/>
      </c>
      <c r="N87" s="410">
        <f t="shared" si="8"/>
        <v>0</v>
      </c>
    </row>
    <row r="88" spans="1:14" x14ac:dyDescent="0.3">
      <c r="A88" s="264"/>
      <c r="B88" s="257"/>
      <c r="C88" s="257"/>
      <c r="D88" s="258"/>
      <c r="E88" s="259"/>
      <c r="F88" s="506"/>
      <c r="G88" s="408"/>
      <c r="H88" s="260"/>
      <c r="I88" s="261"/>
      <c r="J88" s="263"/>
      <c r="K88" s="255" t="str">
        <f t="shared" si="6"/>
        <v/>
      </c>
      <c r="L88" s="255"/>
      <c r="M88" s="255" t="str">
        <f t="shared" si="7"/>
        <v/>
      </c>
      <c r="N88" s="410">
        <f t="shared" si="8"/>
        <v>0</v>
      </c>
    </row>
    <row r="89" spans="1:14" x14ac:dyDescent="0.3">
      <c r="A89" s="264"/>
      <c r="B89" s="257"/>
      <c r="C89" s="257"/>
      <c r="D89" s="258"/>
      <c r="E89" s="259"/>
      <c r="F89" s="506"/>
      <c r="G89" s="408"/>
      <c r="H89" s="260"/>
      <c r="I89" s="261"/>
      <c r="J89" s="263"/>
      <c r="K89" s="255" t="str">
        <f t="shared" si="6"/>
        <v/>
      </c>
      <c r="L89" s="255"/>
      <c r="M89" s="255" t="str">
        <f t="shared" si="7"/>
        <v/>
      </c>
      <c r="N89" s="410">
        <f t="shared" si="8"/>
        <v>0</v>
      </c>
    </row>
    <row r="90" spans="1:14" x14ac:dyDescent="0.3">
      <c r="A90" s="264"/>
      <c r="B90" s="257"/>
      <c r="C90" s="257"/>
      <c r="D90" s="258"/>
      <c r="E90" s="259"/>
      <c r="F90" s="506"/>
      <c r="G90" s="408"/>
      <c r="H90" s="260"/>
      <c r="I90" s="261"/>
      <c r="J90" s="263"/>
      <c r="K90" s="255" t="str">
        <f t="shared" si="6"/>
        <v/>
      </c>
      <c r="L90" s="255"/>
      <c r="M90" s="255" t="str">
        <f t="shared" si="7"/>
        <v/>
      </c>
      <c r="N90" s="410">
        <f t="shared" si="8"/>
        <v>0</v>
      </c>
    </row>
    <row r="91" spans="1:14" x14ac:dyDescent="0.3">
      <c r="A91" s="264"/>
      <c r="B91" s="257"/>
      <c r="C91" s="257"/>
      <c r="D91" s="258"/>
      <c r="E91" s="259"/>
      <c r="F91" s="506"/>
      <c r="G91" s="408"/>
      <c r="H91" s="260"/>
      <c r="I91" s="261"/>
      <c r="J91" s="263"/>
      <c r="K91" s="255" t="str">
        <f t="shared" si="6"/>
        <v/>
      </c>
      <c r="L91" s="255"/>
      <c r="M91" s="255" t="str">
        <f t="shared" si="7"/>
        <v/>
      </c>
      <c r="N91" s="410">
        <f t="shared" si="8"/>
        <v>0</v>
      </c>
    </row>
    <row r="92" spans="1:14" x14ac:dyDescent="0.3">
      <c r="A92" s="264"/>
      <c r="B92" s="257"/>
      <c r="C92" s="257"/>
      <c r="D92" s="258"/>
      <c r="E92" s="259"/>
      <c r="F92" s="506"/>
      <c r="G92" s="408"/>
      <c r="H92" s="260"/>
      <c r="I92" s="261"/>
      <c r="J92" s="263"/>
      <c r="K92" s="255" t="str">
        <f t="shared" si="6"/>
        <v/>
      </c>
      <c r="L92" s="255"/>
      <c r="M92" s="255" t="str">
        <f t="shared" si="7"/>
        <v/>
      </c>
      <c r="N92" s="410">
        <f t="shared" si="8"/>
        <v>0</v>
      </c>
    </row>
    <row r="93" spans="1:14" x14ac:dyDescent="0.3">
      <c r="A93" s="264"/>
      <c r="B93" s="257"/>
      <c r="C93" s="257"/>
      <c r="D93" s="258"/>
      <c r="E93" s="259"/>
      <c r="F93" s="506"/>
      <c r="G93" s="408"/>
      <c r="H93" s="260"/>
      <c r="I93" s="261"/>
      <c r="J93" s="263"/>
      <c r="K93" s="255" t="str">
        <f t="shared" si="6"/>
        <v/>
      </c>
      <c r="L93" s="255"/>
      <c r="M93" s="255" t="str">
        <f t="shared" si="7"/>
        <v/>
      </c>
      <c r="N93" s="410">
        <f t="shared" si="8"/>
        <v>0</v>
      </c>
    </row>
    <row r="94" spans="1:14" x14ac:dyDescent="0.3">
      <c r="A94" s="264"/>
      <c r="B94" s="257"/>
      <c r="C94" s="257"/>
      <c r="D94" s="258"/>
      <c r="E94" s="259"/>
      <c r="F94" s="506"/>
      <c r="G94" s="408"/>
      <c r="H94" s="260"/>
      <c r="I94" s="261"/>
      <c r="J94" s="263"/>
      <c r="K94" s="255" t="str">
        <f t="shared" si="6"/>
        <v/>
      </c>
      <c r="L94" s="255"/>
      <c r="M94" s="255" t="str">
        <f t="shared" si="7"/>
        <v/>
      </c>
      <c r="N94" s="410">
        <f t="shared" si="8"/>
        <v>0</v>
      </c>
    </row>
    <row r="95" spans="1:14" x14ac:dyDescent="0.3">
      <c r="A95" s="264"/>
      <c r="B95" s="257"/>
      <c r="C95" s="257"/>
      <c r="D95" s="258"/>
      <c r="E95" s="259"/>
      <c r="F95" s="506"/>
      <c r="G95" s="408"/>
      <c r="H95" s="260"/>
      <c r="I95" s="261"/>
      <c r="J95" s="263"/>
      <c r="K95" s="255" t="str">
        <f t="shared" si="6"/>
        <v/>
      </c>
      <c r="L95" s="255"/>
      <c r="M95" s="255" t="str">
        <f t="shared" si="7"/>
        <v/>
      </c>
      <c r="N95" s="410">
        <f t="shared" si="8"/>
        <v>0</v>
      </c>
    </row>
    <row r="96" spans="1:14" x14ac:dyDescent="0.3">
      <c r="A96" s="264"/>
      <c r="B96" s="257"/>
      <c r="C96" s="257"/>
      <c r="D96" s="258"/>
      <c r="E96" s="259"/>
      <c r="F96" s="506"/>
      <c r="G96" s="408"/>
      <c r="H96" s="260"/>
      <c r="I96" s="261"/>
      <c r="J96" s="263"/>
      <c r="K96" s="255" t="str">
        <f t="shared" si="6"/>
        <v/>
      </c>
      <c r="L96" s="255"/>
      <c r="M96" s="255" t="str">
        <f t="shared" si="7"/>
        <v/>
      </c>
      <c r="N96" s="410">
        <f t="shared" si="8"/>
        <v>0</v>
      </c>
    </row>
    <row r="97" spans="1:14" x14ac:dyDescent="0.3">
      <c r="A97" s="264"/>
      <c r="B97" s="257"/>
      <c r="C97" s="257"/>
      <c r="D97" s="258"/>
      <c r="E97" s="259"/>
      <c r="F97" s="506"/>
      <c r="G97" s="408"/>
      <c r="H97" s="260"/>
      <c r="I97" s="261"/>
      <c r="J97" s="263"/>
      <c r="K97" s="255" t="str">
        <f t="shared" si="6"/>
        <v/>
      </c>
      <c r="L97" s="255"/>
      <c r="M97" s="255" t="str">
        <f t="shared" si="7"/>
        <v/>
      </c>
      <c r="N97" s="410">
        <f t="shared" si="8"/>
        <v>0</v>
      </c>
    </row>
    <row r="98" spans="1:14" x14ac:dyDescent="0.3">
      <c r="A98" s="264"/>
      <c r="B98" s="257"/>
      <c r="C98" s="257"/>
      <c r="D98" s="258"/>
      <c r="E98" s="259"/>
      <c r="F98" s="506"/>
      <c r="G98" s="408"/>
      <c r="H98" s="260"/>
      <c r="I98" s="261"/>
      <c r="J98" s="263"/>
      <c r="K98" s="255" t="str">
        <f t="shared" si="6"/>
        <v/>
      </c>
      <c r="L98" s="255"/>
      <c r="M98" s="255" t="str">
        <f t="shared" si="7"/>
        <v/>
      </c>
      <c r="N98" s="410">
        <f t="shared" si="8"/>
        <v>0</v>
      </c>
    </row>
    <row r="99" spans="1:14" x14ac:dyDescent="0.3">
      <c r="A99" s="264"/>
      <c r="B99" s="257"/>
      <c r="C99" s="257"/>
      <c r="D99" s="258"/>
      <c r="E99" s="259"/>
      <c r="F99" s="506"/>
      <c r="G99" s="408"/>
      <c r="H99" s="260"/>
      <c r="I99" s="261"/>
      <c r="J99" s="263"/>
      <c r="K99" s="255" t="str">
        <f t="shared" si="6"/>
        <v/>
      </c>
      <c r="L99" s="255"/>
      <c r="M99" s="255" t="str">
        <f t="shared" si="7"/>
        <v/>
      </c>
      <c r="N99" s="410">
        <f t="shared" si="8"/>
        <v>0</v>
      </c>
    </row>
    <row r="100" spans="1:14" x14ac:dyDescent="0.3">
      <c r="A100" s="264"/>
      <c r="B100" s="257"/>
      <c r="C100" s="257"/>
      <c r="D100" s="258"/>
      <c r="E100" s="259"/>
      <c r="F100" s="506"/>
      <c r="G100" s="408"/>
      <c r="H100" s="260"/>
      <c r="I100" s="261"/>
      <c r="J100" s="263"/>
      <c r="K100" s="255" t="str">
        <f t="shared" si="6"/>
        <v/>
      </c>
      <c r="L100" s="255"/>
      <c r="M100" s="255" t="str">
        <f t="shared" si="7"/>
        <v/>
      </c>
      <c r="N100" s="410">
        <f t="shared" si="8"/>
        <v>0</v>
      </c>
    </row>
    <row r="101" spans="1:14" x14ac:dyDescent="0.3">
      <c r="A101" s="264"/>
      <c r="B101" s="257"/>
      <c r="C101" s="257"/>
      <c r="D101" s="258"/>
      <c r="E101" s="259"/>
      <c r="F101" s="506"/>
      <c r="G101" s="408"/>
      <c r="H101" s="260"/>
      <c r="I101" s="261"/>
      <c r="J101" s="263"/>
      <c r="K101" s="255" t="str">
        <f t="shared" si="6"/>
        <v/>
      </c>
      <c r="L101" s="255"/>
      <c r="M101" s="255" t="str">
        <f t="shared" si="7"/>
        <v/>
      </c>
      <c r="N101" s="410">
        <f t="shared" si="8"/>
        <v>0</v>
      </c>
    </row>
    <row r="102" spans="1:14" x14ac:dyDescent="0.3">
      <c r="A102" s="264"/>
      <c r="B102" s="257"/>
      <c r="C102" s="257"/>
      <c r="D102" s="258"/>
      <c r="E102" s="259"/>
      <c r="F102" s="506"/>
      <c r="G102" s="408"/>
      <c r="H102" s="260"/>
      <c r="I102" s="261"/>
      <c r="J102" s="263"/>
      <c r="K102" s="255" t="str">
        <f t="shared" si="6"/>
        <v/>
      </c>
      <c r="L102" s="255"/>
      <c r="M102" s="255" t="str">
        <f t="shared" si="7"/>
        <v/>
      </c>
      <c r="N102" s="410">
        <f t="shared" si="8"/>
        <v>0</v>
      </c>
    </row>
    <row r="103" spans="1:14" x14ac:dyDescent="0.3">
      <c r="A103" s="264"/>
      <c r="B103" s="257"/>
      <c r="C103" s="257"/>
      <c r="D103" s="258"/>
      <c r="E103" s="259"/>
      <c r="F103" s="506"/>
      <c r="G103" s="408"/>
      <c r="H103" s="260"/>
      <c r="I103" s="261"/>
      <c r="J103" s="263"/>
      <c r="K103" s="255" t="str">
        <f t="shared" si="6"/>
        <v/>
      </c>
      <c r="L103" s="255"/>
      <c r="M103" s="255" t="str">
        <f t="shared" si="7"/>
        <v/>
      </c>
      <c r="N103" s="410">
        <f t="shared" si="8"/>
        <v>0</v>
      </c>
    </row>
    <row r="104" spans="1:14" x14ac:dyDescent="0.3">
      <c r="A104" s="264"/>
      <c r="B104" s="257"/>
      <c r="C104" s="257"/>
      <c r="D104" s="258"/>
      <c r="E104" s="259"/>
      <c r="F104" s="506"/>
      <c r="G104" s="408"/>
      <c r="H104" s="260"/>
      <c r="I104" s="261"/>
      <c r="J104" s="263"/>
      <c r="K104" s="255" t="str">
        <f t="shared" si="6"/>
        <v/>
      </c>
      <c r="L104" s="255"/>
      <c r="M104" s="255" t="str">
        <f t="shared" si="7"/>
        <v/>
      </c>
      <c r="N104" s="410">
        <f t="shared" si="8"/>
        <v>0</v>
      </c>
    </row>
    <row r="105" spans="1:14" x14ac:dyDescent="0.3">
      <c r="A105" s="264"/>
      <c r="B105" s="257"/>
      <c r="C105" s="257"/>
      <c r="D105" s="258"/>
      <c r="E105" s="259"/>
      <c r="F105" s="506"/>
      <c r="G105" s="408"/>
      <c r="H105" s="260"/>
      <c r="I105" s="261"/>
      <c r="J105" s="263"/>
      <c r="K105" s="255" t="str">
        <f t="shared" si="6"/>
        <v/>
      </c>
      <c r="L105" s="255"/>
      <c r="M105" s="255" t="str">
        <f t="shared" si="7"/>
        <v/>
      </c>
      <c r="N105" s="410">
        <f t="shared" si="8"/>
        <v>0</v>
      </c>
    </row>
    <row r="106" spans="1:14" x14ac:dyDescent="0.3">
      <c r="A106" s="264"/>
      <c r="B106" s="257"/>
      <c r="C106" s="257"/>
      <c r="D106" s="258"/>
      <c r="E106" s="259"/>
      <c r="F106" s="506"/>
      <c r="G106" s="408"/>
      <c r="H106" s="260"/>
      <c r="I106" s="261"/>
      <c r="J106" s="263"/>
      <c r="K106" s="255" t="str">
        <f t="shared" si="6"/>
        <v/>
      </c>
      <c r="L106" s="255"/>
      <c r="M106" s="255" t="str">
        <f t="shared" si="7"/>
        <v/>
      </c>
      <c r="N106" s="410">
        <f t="shared" si="8"/>
        <v>0</v>
      </c>
    </row>
    <row r="107" spans="1:14" x14ac:dyDescent="0.3">
      <c r="A107" s="264"/>
      <c r="B107" s="257"/>
      <c r="C107" s="257"/>
      <c r="D107" s="258"/>
      <c r="E107" s="259"/>
      <c r="F107" s="506"/>
      <c r="G107" s="408"/>
      <c r="H107" s="260"/>
      <c r="I107" s="261"/>
      <c r="J107" s="263"/>
      <c r="K107" s="255" t="str">
        <f t="shared" ref="K107:K141" si="9">A107&amp;D107</f>
        <v/>
      </c>
      <c r="L107" s="255"/>
      <c r="M107" s="255" t="str">
        <f t="shared" ref="M107:M141" si="10">IF(K107=K106,"",K107)</f>
        <v/>
      </c>
      <c r="N107" s="410">
        <f t="shared" ref="N107:N141" si="11">I107</f>
        <v>0</v>
      </c>
    </row>
    <row r="108" spans="1:14" x14ac:dyDescent="0.3">
      <c r="A108" s="264"/>
      <c r="B108" s="257"/>
      <c r="C108" s="257"/>
      <c r="D108" s="258"/>
      <c r="E108" s="259"/>
      <c r="F108" s="506"/>
      <c r="G108" s="408"/>
      <c r="H108" s="260"/>
      <c r="I108" s="261"/>
      <c r="J108" s="263"/>
      <c r="K108" s="255" t="str">
        <f t="shared" si="9"/>
        <v/>
      </c>
      <c r="L108" s="255"/>
      <c r="M108" s="255" t="str">
        <f t="shared" si="10"/>
        <v/>
      </c>
      <c r="N108" s="410">
        <f t="shared" si="11"/>
        <v>0</v>
      </c>
    </row>
    <row r="109" spans="1:14" x14ac:dyDescent="0.3">
      <c r="A109" s="264"/>
      <c r="B109" s="257"/>
      <c r="C109" s="257"/>
      <c r="D109" s="258"/>
      <c r="E109" s="259"/>
      <c r="F109" s="506"/>
      <c r="G109" s="408"/>
      <c r="H109" s="260"/>
      <c r="I109" s="261"/>
      <c r="J109" s="263"/>
      <c r="K109" s="255" t="str">
        <f t="shared" si="9"/>
        <v/>
      </c>
      <c r="L109" s="255"/>
      <c r="M109" s="255" t="str">
        <f t="shared" si="10"/>
        <v/>
      </c>
      <c r="N109" s="410">
        <f t="shared" si="11"/>
        <v>0</v>
      </c>
    </row>
    <row r="110" spans="1:14" x14ac:dyDescent="0.3">
      <c r="A110" s="264"/>
      <c r="B110" s="257"/>
      <c r="C110" s="257"/>
      <c r="D110" s="258"/>
      <c r="E110" s="259"/>
      <c r="F110" s="506"/>
      <c r="G110" s="408"/>
      <c r="H110" s="260"/>
      <c r="I110" s="261"/>
      <c r="J110" s="263"/>
      <c r="K110" s="255" t="str">
        <f t="shared" si="9"/>
        <v/>
      </c>
      <c r="L110" s="255"/>
      <c r="M110" s="255" t="str">
        <f t="shared" si="10"/>
        <v/>
      </c>
      <c r="N110" s="410">
        <f t="shared" si="11"/>
        <v>0</v>
      </c>
    </row>
    <row r="111" spans="1:14" x14ac:dyDescent="0.3">
      <c r="A111" s="264"/>
      <c r="B111" s="257"/>
      <c r="C111" s="257"/>
      <c r="D111" s="258"/>
      <c r="E111" s="259"/>
      <c r="F111" s="506"/>
      <c r="G111" s="408"/>
      <c r="H111" s="260"/>
      <c r="I111" s="261"/>
      <c r="J111" s="263"/>
      <c r="K111" s="255" t="str">
        <f t="shared" si="9"/>
        <v/>
      </c>
      <c r="L111" s="255"/>
      <c r="M111" s="255" t="str">
        <f t="shared" si="10"/>
        <v/>
      </c>
      <c r="N111" s="410">
        <f t="shared" si="11"/>
        <v>0</v>
      </c>
    </row>
    <row r="112" spans="1:14" x14ac:dyDescent="0.3">
      <c r="A112" s="264"/>
      <c r="B112" s="257"/>
      <c r="C112" s="257"/>
      <c r="D112" s="258"/>
      <c r="E112" s="259"/>
      <c r="F112" s="506"/>
      <c r="G112" s="408"/>
      <c r="H112" s="260"/>
      <c r="I112" s="261"/>
      <c r="J112" s="263"/>
      <c r="K112" s="255" t="str">
        <f t="shared" si="9"/>
        <v/>
      </c>
      <c r="L112" s="255"/>
      <c r="M112" s="255" t="str">
        <f t="shared" si="10"/>
        <v/>
      </c>
      <c r="N112" s="410">
        <f t="shared" si="11"/>
        <v>0</v>
      </c>
    </row>
    <row r="113" spans="1:14" x14ac:dyDescent="0.3">
      <c r="A113" s="264"/>
      <c r="B113" s="257"/>
      <c r="C113" s="257"/>
      <c r="D113" s="258"/>
      <c r="E113" s="259"/>
      <c r="F113" s="506"/>
      <c r="G113" s="408"/>
      <c r="H113" s="260"/>
      <c r="I113" s="261"/>
      <c r="J113" s="263"/>
      <c r="K113" s="255" t="str">
        <f t="shared" si="9"/>
        <v/>
      </c>
      <c r="L113" s="255"/>
      <c r="M113" s="255" t="str">
        <f t="shared" si="10"/>
        <v/>
      </c>
      <c r="N113" s="410">
        <f t="shared" si="11"/>
        <v>0</v>
      </c>
    </row>
    <row r="114" spans="1:14" x14ac:dyDescent="0.3">
      <c r="A114" s="264"/>
      <c r="B114" s="257"/>
      <c r="C114" s="257"/>
      <c r="D114" s="258"/>
      <c r="E114" s="259"/>
      <c r="F114" s="506"/>
      <c r="G114" s="408"/>
      <c r="H114" s="260"/>
      <c r="I114" s="261"/>
      <c r="J114" s="263"/>
      <c r="K114" s="255" t="str">
        <f t="shared" si="9"/>
        <v/>
      </c>
      <c r="L114" s="255"/>
      <c r="M114" s="255" t="str">
        <f t="shared" si="10"/>
        <v/>
      </c>
      <c r="N114" s="410">
        <f t="shared" si="11"/>
        <v>0</v>
      </c>
    </row>
    <row r="115" spans="1:14" x14ac:dyDescent="0.3">
      <c r="A115" s="264"/>
      <c r="B115" s="257"/>
      <c r="C115" s="257"/>
      <c r="D115" s="258"/>
      <c r="E115" s="259"/>
      <c r="F115" s="506"/>
      <c r="G115" s="408"/>
      <c r="H115" s="260"/>
      <c r="I115" s="261"/>
      <c r="J115" s="263"/>
      <c r="K115" s="255" t="str">
        <f t="shared" si="9"/>
        <v/>
      </c>
      <c r="L115" s="255"/>
      <c r="M115" s="255" t="str">
        <f t="shared" si="10"/>
        <v/>
      </c>
      <c r="N115" s="410">
        <f t="shared" si="11"/>
        <v>0</v>
      </c>
    </row>
    <row r="116" spans="1:14" x14ac:dyDescent="0.3">
      <c r="A116" s="264"/>
      <c r="B116" s="257"/>
      <c r="C116" s="257"/>
      <c r="D116" s="258"/>
      <c r="E116" s="259"/>
      <c r="F116" s="506"/>
      <c r="G116" s="408"/>
      <c r="H116" s="260"/>
      <c r="I116" s="261"/>
      <c r="J116" s="263"/>
      <c r="K116" s="255" t="str">
        <f t="shared" si="9"/>
        <v/>
      </c>
      <c r="L116" s="255"/>
      <c r="M116" s="255" t="str">
        <f t="shared" si="10"/>
        <v/>
      </c>
      <c r="N116" s="410">
        <f t="shared" si="11"/>
        <v>0</v>
      </c>
    </row>
    <row r="117" spans="1:14" x14ac:dyDescent="0.3">
      <c r="A117" s="264"/>
      <c r="B117" s="257"/>
      <c r="C117" s="257"/>
      <c r="D117" s="258"/>
      <c r="E117" s="259"/>
      <c r="F117" s="506"/>
      <c r="G117" s="408"/>
      <c r="H117" s="260"/>
      <c r="I117" s="261"/>
      <c r="J117" s="263"/>
      <c r="K117" s="255" t="str">
        <f t="shared" si="9"/>
        <v/>
      </c>
      <c r="L117" s="255"/>
      <c r="M117" s="255" t="str">
        <f t="shared" si="10"/>
        <v/>
      </c>
      <c r="N117" s="410">
        <f t="shared" si="11"/>
        <v>0</v>
      </c>
    </row>
    <row r="118" spans="1:14" x14ac:dyDescent="0.3">
      <c r="A118" s="264"/>
      <c r="B118" s="257"/>
      <c r="C118" s="257"/>
      <c r="D118" s="258"/>
      <c r="E118" s="259"/>
      <c r="F118" s="506"/>
      <c r="G118" s="408"/>
      <c r="H118" s="260"/>
      <c r="I118" s="261"/>
      <c r="J118" s="263"/>
      <c r="K118" s="255" t="str">
        <f t="shared" si="9"/>
        <v/>
      </c>
      <c r="L118" s="255"/>
      <c r="M118" s="255" t="str">
        <f t="shared" si="10"/>
        <v/>
      </c>
      <c r="N118" s="410">
        <f t="shared" si="11"/>
        <v>0</v>
      </c>
    </row>
    <row r="119" spans="1:14" x14ac:dyDescent="0.3">
      <c r="A119" s="264"/>
      <c r="B119" s="257"/>
      <c r="C119" s="257"/>
      <c r="D119" s="258"/>
      <c r="E119" s="259"/>
      <c r="F119" s="506"/>
      <c r="G119" s="408"/>
      <c r="H119" s="260"/>
      <c r="I119" s="261"/>
      <c r="J119" s="263"/>
      <c r="K119" s="255" t="str">
        <f t="shared" si="9"/>
        <v/>
      </c>
      <c r="L119" s="255"/>
      <c r="M119" s="255" t="str">
        <f t="shared" si="10"/>
        <v/>
      </c>
      <c r="N119" s="410">
        <f t="shared" si="11"/>
        <v>0</v>
      </c>
    </row>
    <row r="120" spans="1:14" x14ac:dyDescent="0.3">
      <c r="A120" s="264"/>
      <c r="B120" s="257"/>
      <c r="C120" s="257"/>
      <c r="D120" s="258"/>
      <c r="E120" s="259"/>
      <c r="F120" s="506"/>
      <c r="G120" s="408"/>
      <c r="H120" s="260"/>
      <c r="I120" s="261"/>
      <c r="J120" s="263"/>
      <c r="K120" s="255" t="str">
        <f t="shared" si="9"/>
        <v/>
      </c>
      <c r="L120" s="255"/>
      <c r="M120" s="255" t="str">
        <f t="shared" si="10"/>
        <v/>
      </c>
      <c r="N120" s="410">
        <f t="shared" si="11"/>
        <v>0</v>
      </c>
    </row>
    <row r="121" spans="1:14" x14ac:dyDescent="0.3">
      <c r="A121" s="264"/>
      <c r="B121" s="257"/>
      <c r="C121" s="257"/>
      <c r="D121" s="258"/>
      <c r="E121" s="259"/>
      <c r="F121" s="506"/>
      <c r="G121" s="408"/>
      <c r="H121" s="260"/>
      <c r="I121" s="261"/>
      <c r="J121" s="263"/>
      <c r="K121" s="255" t="str">
        <f t="shared" si="9"/>
        <v/>
      </c>
      <c r="L121" s="255"/>
      <c r="M121" s="255" t="str">
        <f t="shared" si="10"/>
        <v/>
      </c>
      <c r="N121" s="410">
        <f t="shared" si="11"/>
        <v>0</v>
      </c>
    </row>
    <row r="122" spans="1:14" x14ac:dyDescent="0.3">
      <c r="A122" s="264"/>
      <c r="B122" s="257"/>
      <c r="C122" s="257"/>
      <c r="D122" s="258"/>
      <c r="E122" s="259"/>
      <c r="F122" s="506"/>
      <c r="G122" s="408"/>
      <c r="H122" s="260"/>
      <c r="I122" s="261"/>
      <c r="J122" s="263"/>
      <c r="K122" s="255" t="str">
        <f t="shared" si="9"/>
        <v/>
      </c>
      <c r="L122" s="255"/>
      <c r="M122" s="255" t="str">
        <f t="shared" si="10"/>
        <v/>
      </c>
      <c r="N122" s="410">
        <f t="shared" si="11"/>
        <v>0</v>
      </c>
    </row>
    <row r="123" spans="1:14" x14ac:dyDescent="0.3">
      <c r="A123" s="264"/>
      <c r="B123" s="257"/>
      <c r="C123" s="257"/>
      <c r="D123" s="258"/>
      <c r="E123" s="259"/>
      <c r="F123" s="506"/>
      <c r="G123" s="408"/>
      <c r="H123" s="260"/>
      <c r="I123" s="261"/>
      <c r="J123" s="263"/>
      <c r="K123" s="255" t="str">
        <f t="shared" si="9"/>
        <v/>
      </c>
      <c r="L123" s="255"/>
      <c r="M123" s="255" t="str">
        <f t="shared" si="10"/>
        <v/>
      </c>
      <c r="N123" s="410">
        <f t="shared" si="11"/>
        <v>0</v>
      </c>
    </row>
    <row r="124" spans="1:14" x14ac:dyDescent="0.3">
      <c r="A124" s="264"/>
      <c r="B124" s="257"/>
      <c r="C124" s="257"/>
      <c r="D124" s="258"/>
      <c r="E124" s="259"/>
      <c r="F124" s="506"/>
      <c r="G124" s="408"/>
      <c r="H124" s="260"/>
      <c r="I124" s="261"/>
      <c r="J124" s="263"/>
      <c r="K124" s="255" t="str">
        <f t="shared" si="9"/>
        <v/>
      </c>
      <c r="L124" s="255"/>
      <c r="M124" s="255" t="str">
        <f t="shared" si="10"/>
        <v/>
      </c>
      <c r="N124" s="410">
        <f t="shared" si="11"/>
        <v>0</v>
      </c>
    </row>
    <row r="125" spans="1:14" x14ac:dyDescent="0.3">
      <c r="A125" s="264"/>
      <c r="B125" s="257"/>
      <c r="C125" s="257"/>
      <c r="D125" s="258"/>
      <c r="E125" s="259"/>
      <c r="F125" s="506"/>
      <c r="G125" s="408"/>
      <c r="H125" s="260"/>
      <c r="I125" s="261"/>
      <c r="J125" s="263"/>
      <c r="K125" s="255" t="str">
        <f t="shared" si="9"/>
        <v/>
      </c>
      <c r="L125" s="255"/>
      <c r="M125" s="255" t="str">
        <f t="shared" si="10"/>
        <v/>
      </c>
      <c r="N125" s="410">
        <f t="shared" si="11"/>
        <v>0</v>
      </c>
    </row>
    <row r="126" spans="1:14" x14ac:dyDescent="0.3">
      <c r="A126" s="264"/>
      <c r="B126" s="257"/>
      <c r="C126" s="257"/>
      <c r="D126" s="258"/>
      <c r="E126" s="259"/>
      <c r="F126" s="506"/>
      <c r="G126" s="408"/>
      <c r="H126" s="260"/>
      <c r="I126" s="261"/>
      <c r="J126" s="263"/>
      <c r="K126" s="255" t="str">
        <f t="shared" si="9"/>
        <v/>
      </c>
      <c r="L126" s="255"/>
      <c r="M126" s="255" t="str">
        <f t="shared" si="10"/>
        <v/>
      </c>
      <c r="N126" s="410">
        <f t="shared" si="11"/>
        <v>0</v>
      </c>
    </row>
    <row r="127" spans="1:14" x14ac:dyDescent="0.3">
      <c r="A127" s="264"/>
      <c r="B127" s="257"/>
      <c r="C127" s="257"/>
      <c r="D127" s="258"/>
      <c r="E127" s="259"/>
      <c r="F127" s="506"/>
      <c r="G127" s="408"/>
      <c r="H127" s="260"/>
      <c r="I127" s="261"/>
      <c r="J127" s="263"/>
      <c r="K127" s="255" t="str">
        <f t="shared" si="9"/>
        <v/>
      </c>
      <c r="L127" s="255"/>
      <c r="M127" s="255" t="str">
        <f t="shared" si="10"/>
        <v/>
      </c>
      <c r="N127" s="410">
        <f t="shared" si="11"/>
        <v>0</v>
      </c>
    </row>
    <row r="128" spans="1:14" x14ac:dyDescent="0.3">
      <c r="A128" s="264"/>
      <c r="B128" s="257"/>
      <c r="C128" s="257"/>
      <c r="D128" s="258"/>
      <c r="E128" s="259"/>
      <c r="F128" s="506"/>
      <c r="G128" s="408"/>
      <c r="H128" s="260"/>
      <c r="I128" s="261"/>
      <c r="J128" s="263"/>
      <c r="K128" s="255" t="str">
        <f t="shared" si="9"/>
        <v/>
      </c>
      <c r="L128" s="255"/>
      <c r="M128" s="255" t="str">
        <f t="shared" si="10"/>
        <v/>
      </c>
      <c r="N128" s="410">
        <f t="shared" si="11"/>
        <v>0</v>
      </c>
    </row>
    <row r="129" spans="1:14" x14ac:dyDescent="0.3">
      <c r="A129" s="264"/>
      <c r="B129" s="257"/>
      <c r="C129" s="257"/>
      <c r="D129" s="258"/>
      <c r="E129" s="259"/>
      <c r="F129" s="506"/>
      <c r="G129" s="408"/>
      <c r="H129" s="260"/>
      <c r="I129" s="261"/>
      <c r="J129" s="263"/>
      <c r="K129" s="255" t="str">
        <f t="shared" si="9"/>
        <v/>
      </c>
      <c r="L129" s="255"/>
      <c r="M129" s="255" t="str">
        <f t="shared" si="10"/>
        <v/>
      </c>
      <c r="N129" s="410">
        <f t="shared" si="11"/>
        <v>0</v>
      </c>
    </row>
    <row r="130" spans="1:14" x14ac:dyDescent="0.3">
      <c r="A130" s="264"/>
      <c r="B130" s="257"/>
      <c r="C130" s="257"/>
      <c r="D130" s="258"/>
      <c r="E130" s="259"/>
      <c r="F130" s="506"/>
      <c r="G130" s="408"/>
      <c r="H130" s="260"/>
      <c r="I130" s="261"/>
      <c r="J130" s="263"/>
      <c r="K130" s="255" t="str">
        <f t="shared" si="9"/>
        <v/>
      </c>
      <c r="L130" s="255"/>
      <c r="M130" s="255" t="str">
        <f t="shared" si="10"/>
        <v/>
      </c>
      <c r="N130" s="410">
        <f t="shared" si="11"/>
        <v>0</v>
      </c>
    </row>
    <row r="131" spans="1:14" x14ac:dyDescent="0.3">
      <c r="A131" s="264"/>
      <c r="B131" s="257"/>
      <c r="C131" s="257"/>
      <c r="D131" s="258"/>
      <c r="E131" s="259"/>
      <c r="F131" s="506"/>
      <c r="G131" s="408"/>
      <c r="H131" s="260"/>
      <c r="I131" s="261"/>
      <c r="J131" s="263"/>
      <c r="K131" s="255" t="str">
        <f t="shared" si="9"/>
        <v/>
      </c>
      <c r="L131" s="255"/>
      <c r="M131" s="255" t="str">
        <f t="shared" si="10"/>
        <v/>
      </c>
      <c r="N131" s="410">
        <f t="shared" si="11"/>
        <v>0</v>
      </c>
    </row>
    <row r="132" spans="1:14" x14ac:dyDescent="0.3">
      <c r="A132" s="264"/>
      <c r="B132" s="257"/>
      <c r="C132" s="257"/>
      <c r="D132" s="258"/>
      <c r="E132" s="259"/>
      <c r="F132" s="506"/>
      <c r="G132" s="408"/>
      <c r="H132" s="260"/>
      <c r="I132" s="261"/>
      <c r="J132" s="263"/>
      <c r="K132" s="255" t="str">
        <f t="shared" si="9"/>
        <v/>
      </c>
      <c r="L132" s="255"/>
      <c r="M132" s="255" t="str">
        <f t="shared" si="10"/>
        <v/>
      </c>
      <c r="N132" s="410">
        <f t="shared" si="11"/>
        <v>0</v>
      </c>
    </row>
    <row r="133" spans="1:14" x14ac:dyDescent="0.3">
      <c r="A133" s="264"/>
      <c r="B133" s="257"/>
      <c r="C133" s="257"/>
      <c r="D133" s="258"/>
      <c r="E133" s="259"/>
      <c r="F133" s="506"/>
      <c r="G133" s="408"/>
      <c r="H133" s="260"/>
      <c r="I133" s="261"/>
      <c r="J133" s="263"/>
      <c r="K133" s="255" t="str">
        <f t="shared" si="9"/>
        <v/>
      </c>
      <c r="L133" s="255"/>
      <c r="M133" s="255" t="str">
        <f t="shared" si="10"/>
        <v/>
      </c>
      <c r="N133" s="410">
        <f t="shared" si="11"/>
        <v>0</v>
      </c>
    </row>
    <row r="134" spans="1:14" x14ac:dyDescent="0.3">
      <c r="A134" s="264"/>
      <c r="B134" s="257"/>
      <c r="C134" s="257"/>
      <c r="D134" s="258"/>
      <c r="E134" s="259"/>
      <c r="F134" s="506"/>
      <c r="G134" s="408"/>
      <c r="H134" s="260"/>
      <c r="I134" s="261"/>
      <c r="J134" s="263"/>
      <c r="K134" s="255" t="str">
        <f t="shared" si="9"/>
        <v/>
      </c>
      <c r="L134" s="255"/>
      <c r="M134" s="255" t="str">
        <f t="shared" si="10"/>
        <v/>
      </c>
      <c r="N134" s="410">
        <f t="shared" si="11"/>
        <v>0</v>
      </c>
    </row>
    <row r="135" spans="1:14" x14ac:dyDescent="0.3">
      <c r="A135" s="264"/>
      <c r="B135" s="257"/>
      <c r="C135" s="257"/>
      <c r="D135" s="258"/>
      <c r="E135" s="259"/>
      <c r="F135" s="506"/>
      <c r="G135" s="408"/>
      <c r="H135" s="260"/>
      <c r="I135" s="261"/>
      <c r="J135" s="263"/>
      <c r="K135" s="255" t="str">
        <f t="shared" si="9"/>
        <v/>
      </c>
      <c r="L135" s="255"/>
      <c r="M135" s="255" t="str">
        <f t="shared" si="10"/>
        <v/>
      </c>
      <c r="N135" s="410">
        <f t="shared" si="11"/>
        <v>0</v>
      </c>
    </row>
    <row r="136" spans="1:14" x14ac:dyDescent="0.3">
      <c r="A136" s="264"/>
      <c r="B136" s="257"/>
      <c r="C136" s="257"/>
      <c r="D136" s="258"/>
      <c r="E136" s="259"/>
      <c r="F136" s="506"/>
      <c r="G136" s="408"/>
      <c r="H136" s="260"/>
      <c r="I136" s="261"/>
      <c r="J136" s="263"/>
      <c r="K136" s="255" t="str">
        <f t="shared" si="9"/>
        <v/>
      </c>
      <c r="L136" s="255"/>
      <c r="M136" s="255" t="str">
        <f t="shared" si="10"/>
        <v/>
      </c>
      <c r="N136" s="410">
        <f t="shared" si="11"/>
        <v>0</v>
      </c>
    </row>
    <row r="137" spans="1:14" x14ac:dyDescent="0.3">
      <c r="A137" s="264"/>
      <c r="B137" s="257"/>
      <c r="C137" s="257"/>
      <c r="D137" s="258"/>
      <c r="E137" s="259"/>
      <c r="F137" s="506"/>
      <c r="G137" s="408"/>
      <c r="H137" s="260"/>
      <c r="I137" s="261"/>
      <c r="J137" s="263"/>
      <c r="K137" s="255" t="str">
        <f t="shared" si="9"/>
        <v/>
      </c>
      <c r="L137" s="255"/>
      <c r="M137" s="255" t="str">
        <f t="shared" si="10"/>
        <v/>
      </c>
      <c r="N137" s="410">
        <f t="shared" si="11"/>
        <v>0</v>
      </c>
    </row>
    <row r="138" spans="1:14" x14ac:dyDescent="0.3">
      <c r="A138" s="264"/>
      <c r="B138" s="257"/>
      <c r="C138" s="257"/>
      <c r="D138" s="258"/>
      <c r="E138" s="259"/>
      <c r="F138" s="506"/>
      <c r="G138" s="408"/>
      <c r="H138" s="260"/>
      <c r="I138" s="261"/>
      <c r="J138" s="263"/>
      <c r="K138" s="255" t="str">
        <f t="shared" si="9"/>
        <v/>
      </c>
      <c r="L138" s="255"/>
      <c r="M138" s="255" t="str">
        <f t="shared" si="10"/>
        <v/>
      </c>
      <c r="N138" s="410">
        <f t="shared" si="11"/>
        <v>0</v>
      </c>
    </row>
    <row r="139" spans="1:14" x14ac:dyDescent="0.3">
      <c r="A139" s="264"/>
      <c r="B139" s="257"/>
      <c r="C139" s="257"/>
      <c r="D139" s="258"/>
      <c r="E139" s="259"/>
      <c r="F139" s="506"/>
      <c r="G139" s="408"/>
      <c r="H139" s="260"/>
      <c r="I139" s="261"/>
      <c r="J139" s="263"/>
      <c r="K139" s="255" t="str">
        <f t="shared" si="9"/>
        <v/>
      </c>
      <c r="L139" s="255"/>
      <c r="M139" s="255" t="str">
        <f t="shared" si="10"/>
        <v/>
      </c>
      <c r="N139" s="410">
        <f t="shared" si="11"/>
        <v>0</v>
      </c>
    </row>
    <row r="140" spans="1:14" x14ac:dyDescent="0.3">
      <c r="A140" s="264"/>
      <c r="B140" s="257"/>
      <c r="C140" s="257"/>
      <c r="D140" s="258"/>
      <c r="E140" s="259"/>
      <c r="F140" s="506"/>
      <c r="G140" s="408"/>
      <c r="H140" s="260"/>
      <c r="I140" s="261"/>
      <c r="J140" s="263"/>
      <c r="K140" s="255" t="str">
        <f t="shared" si="9"/>
        <v/>
      </c>
      <c r="L140" s="255"/>
      <c r="M140" s="255" t="str">
        <f t="shared" si="10"/>
        <v/>
      </c>
      <c r="N140" s="410">
        <f t="shared" si="11"/>
        <v>0</v>
      </c>
    </row>
    <row r="141" spans="1:14" x14ac:dyDescent="0.3">
      <c r="A141" s="266"/>
      <c r="B141" s="267"/>
      <c r="C141" s="267"/>
      <c r="D141" s="268"/>
      <c r="E141" s="269"/>
      <c r="F141" s="507"/>
      <c r="G141" s="409"/>
      <c r="H141" s="270"/>
      <c r="I141" s="271"/>
      <c r="J141" s="272"/>
      <c r="K141" s="255" t="str">
        <f t="shared" si="9"/>
        <v/>
      </c>
      <c r="L141" s="255"/>
      <c r="M141" s="255" t="str">
        <f t="shared" si="10"/>
        <v/>
      </c>
      <c r="N141" s="410">
        <f t="shared" si="11"/>
        <v>0</v>
      </c>
    </row>
  </sheetData>
  <protectedRanges>
    <protectedRange sqref="A18:J141 J11:J17" name="범위1"/>
    <protectedRange sqref="A11:I17" name="범위1_1"/>
    <protectedRange sqref="K11:L141 N11:N141" name="범위1_2"/>
    <protectedRange sqref="M11:M141" name="범위1_2_1"/>
  </protectedRanges>
  <mergeCells count="14">
    <mergeCell ref="J7:J10"/>
    <mergeCell ref="F9:F10"/>
    <mergeCell ref="G9:G10"/>
    <mergeCell ref="H9:H10"/>
    <mergeCell ref="A1:J1"/>
    <mergeCell ref="A4:B4"/>
    <mergeCell ref="A7:A10"/>
    <mergeCell ref="B7:B10"/>
    <mergeCell ref="C7:C10"/>
    <mergeCell ref="D7:D10"/>
    <mergeCell ref="E7:E10"/>
    <mergeCell ref="F7:G8"/>
    <mergeCell ref="H7:H8"/>
    <mergeCell ref="I7:I10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1">
    <pageSetUpPr fitToPage="1"/>
  </sheetPr>
  <dimension ref="A1:U105"/>
  <sheetViews>
    <sheetView zoomScale="85" zoomScaleNormal="85" workbookViewId="0">
      <selection sqref="A1:N1"/>
    </sheetView>
  </sheetViews>
  <sheetFormatPr defaultRowHeight="16.5" x14ac:dyDescent="0.3"/>
  <cols>
    <col min="1" max="1" width="5.875" customWidth="1"/>
    <col min="2" max="2" width="5.5" customWidth="1"/>
    <col min="3" max="3" width="6" customWidth="1"/>
    <col min="5" max="5" width="7.875" customWidth="1"/>
    <col min="6" max="6" width="8.5" customWidth="1"/>
    <col min="7" max="7" width="9.125" customWidth="1"/>
    <col min="8" max="8" width="9.375" bestFit="1" customWidth="1"/>
    <col min="10" max="10" width="8.125" customWidth="1"/>
    <col min="11" max="11" width="8.25" customWidth="1"/>
    <col min="15" max="21" width="0" hidden="1" customWidth="1"/>
  </cols>
  <sheetData>
    <row r="1" spans="1:21" ht="25.5" x14ac:dyDescent="0.3">
      <c r="A1" s="707" t="s">
        <v>136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9"/>
      <c r="O1" s="256"/>
      <c r="P1" s="256"/>
      <c r="Q1" s="256"/>
      <c r="R1" s="256"/>
      <c r="S1" s="256"/>
      <c r="T1" s="256"/>
      <c r="U1" s="256"/>
    </row>
    <row r="2" spans="1:21" x14ac:dyDescent="0.3">
      <c r="A2" s="273"/>
      <c r="B2" s="274"/>
      <c r="C2" s="274"/>
      <c r="D2" s="274"/>
      <c r="E2" s="274"/>
      <c r="F2" s="274"/>
      <c r="G2" s="274"/>
      <c r="H2" s="274"/>
      <c r="I2" s="274"/>
      <c r="J2" s="275"/>
      <c r="K2" s="274"/>
      <c r="L2" s="274"/>
      <c r="M2" s="274"/>
      <c r="N2" s="276"/>
      <c r="O2" s="256"/>
      <c r="P2" s="256"/>
      <c r="Q2" s="256"/>
      <c r="R2" s="256"/>
      <c r="S2" s="256"/>
      <c r="T2" s="256"/>
      <c r="U2" s="256"/>
    </row>
    <row r="3" spans="1:21" x14ac:dyDescent="0.3">
      <c r="A3" s="710" t="s">
        <v>137</v>
      </c>
      <c r="B3" s="711"/>
      <c r="C3" s="711"/>
      <c r="D3" s="712" t="str">
        <f>수종별재적표!D3</f>
        <v>강릉 54임반 4(라)소반 외 1 개소</v>
      </c>
      <c r="E3" s="712"/>
      <c r="F3" s="712"/>
      <c r="G3" s="712"/>
      <c r="H3" s="712"/>
      <c r="I3" s="712"/>
      <c r="J3" s="712"/>
      <c r="K3" s="712"/>
      <c r="L3" s="712"/>
      <c r="M3" s="712"/>
      <c r="N3" s="713"/>
      <c r="O3" s="256"/>
      <c r="P3" s="256"/>
      <c r="Q3" s="256"/>
      <c r="R3" s="256"/>
      <c r="S3" s="256"/>
      <c r="T3" s="256"/>
      <c r="U3" s="256"/>
    </row>
    <row r="4" spans="1:21" x14ac:dyDescent="0.3">
      <c r="A4" s="714" t="s">
        <v>138</v>
      </c>
      <c r="B4" s="715"/>
      <c r="C4" s="715"/>
      <c r="D4" s="715" t="s">
        <v>139</v>
      </c>
      <c r="E4" s="715" t="s">
        <v>140</v>
      </c>
      <c r="F4" s="277" t="s">
        <v>141</v>
      </c>
      <c r="G4" s="277" t="s">
        <v>142</v>
      </c>
      <c r="H4" s="719" t="s">
        <v>143</v>
      </c>
      <c r="I4" s="719"/>
      <c r="J4" s="719"/>
      <c r="K4" s="719"/>
      <c r="L4" s="719"/>
      <c r="M4" s="277" t="s">
        <v>144</v>
      </c>
      <c r="N4" s="278" t="s">
        <v>145</v>
      </c>
      <c r="O4" s="256"/>
      <c r="P4" s="256"/>
      <c r="Q4" s="256"/>
      <c r="R4" s="256"/>
      <c r="S4" s="256"/>
      <c r="T4" s="256"/>
      <c r="U4" s="256"/>
    </row>
    <row r="5" spans="1:21" x14ac:dyDescent="0.3">
      <c r="A5" s="716"/>
      <c r="B5" s="717"/>
      <c r="C5" s="717"/>
      <c r="D5" s="717"/>
      <c r="E5" s="718"/>
      <c r="F5" s="279" t="s">
        <v>146</v>
      </c>
      <c r="G5" s="279" t="s">
        <v>147</v>
      </c>
      <c r="H5" s="279" t="s">
        <v>148</v>
      </c>
      <c r="I5" s="717" t="s">
        <v>149</v>
      </c>
      <c r="J5" s="717" t="s">
        <v>150</v>
      </c>
      <c r="K5" s="279" t="s">
        <v>151</v>
      </c>
      <c r="L5" s="717" t="s">
        <v>152</v>
      </c>
      <c r="M5" s="279" t="s">
        <v>153</v>
      </c>
      <c r="N5" s="280" t="s">
        <v>147</v>
      </c>
      <c r="O5" s="256"/>
      <c r="P5" s="256"/>
      <c r="Q5" s="256"/>
      <c r="R5" s="256"/>
      <c r="S5" s="256"/>
      <c r="T5" s="256"/>
      <c r="U5" s="256"/>
    </row>
    <row r="6" spans="1:21" x14ac:dyDescent="0.3">
      <c r="A6" s="716"/>
      <c r="B6" s="717"/>
      <c r="C6" s="717"/>
      <c r="D6" s="717"/>
      <c r="E6" s="279" t="s">
        <v>154</v>
      </c>
      <c r="F6" s="279" t="s">
        <v>155</v>
      </c>
      <c r="G6" s="279" t="s">
        <v>156</v>
      </c>
      <c r="H6" s="279" t="s">
        <v>157</v>
      </c>
      <c r="I6" s="717"/>
      <c r="J6" s="717"/>
      <c r="K6" s="279" t="s">
        <v>158</v>
      </c>
      <c r="L6" s="717"/>
      <c r="M6" s="279" t="s">
        <v>159</v>
      </c>
      <c r="N6" s="280" t="s">
        <v>160</v>
      </c>
      <c r="O6" s="256"/>
      <c r="P6" s="256"/>
      <c r="Q6" s="256"/>
      <c r="R6" s="256"/>
      <c r="S6" s="256"/>
      <c r="T6" s="256"/>
      <c r="U6" s="256"/>
    </row>
    <row r="7" spans="1:21" x14ac:dyDescent="0.3">
      <c r="A7" s="720" t="s">
        <v>413</v>
      </c>
      <c r="B7" s="721"/>
      <c r="C7" s="721"/>
      <c r="D7" s="257" t="str">
        <f>IF(A7="","",VLOOKUP(A7,수종별재적표!B$14:$H$33,5,FALSE))</f>
        <v>제재</v>
      </c>
      <c r="E7" s="281">
        <f>IF(A7="","",VLOOKUP(A7,수종별재적표!$B$14:$H$33,6,FALSE))</f>
        <v>88</v>
      </c>
      <c r="F7" s="282" t="s">
        <v>430</v>
      </c>
      <c r="G7" s="283">
        <v>277500</v>
      </c>
      <c r="H7" s="283">
        <f>IF(A7="","",IF(VLOOKUP(A7,기본자료!$B$87:$C$104,2,FALSE)="Y",I$50,I$48))</f>
        <v>12005</v>
      </c>
      <c r="I7" s="283">
        <f t="shared" ref="I7:I29" si="0">IF(A7="","",IF(P7="Y",I59+K59+$I$88,I59+K59+$O$88))</f>
        <v>38582</v>
      </c>
      <c r="J7" s="283">
        <f>IF(A7="","",ROUND((H7+I7)*기본자료!$E$57/100+$E$90,0))</f>
        <v>620</v>
      </c>
      <c r="K7" s="283">
        <f>IF(A7="","",IF(기본자료!$K$67&lt;&gt;"",ROUND(기본자료!$K$67*G7,0),ROUND(G7*$E$100,0)))</f>
        <v>2442</v>
      </c>
      <c r="L7" s="284">
        <f t="shared" ref="L7:L29" si="1">IF(A7="","",SUM(H7:K7))</f>
        <v>53649</v>
      </c>
      <c r="M7" s="284">
        <f t="shared" ref="M7:M29" si="2">IF(A7="","",G7-L7)</f>
        <v>223851</v>
      </c>
      <c r="N7" s="285">
        <f t="shared" ref="N7:N29" si="3">IF(A7="","",ROUND(M7*E7/100,0))</f>
        <v>196989</v>
      </c>
      <c r="O7" s="309">
        <v>5000</v>
      </c>
      <c r="P7" s="256" t="s">
        <v>448</v>
      </c>
      <c r="Q7" s="256"/>
      <c r="R7" s="256"/>
      <c r="S7" s="256"/>
      <c r="T7" s="256"/>
      <c r="U7" s="256"/>
    </row>
    <row r="8" spans="1:21" x14ac:dyDescent="0.3">
      <c r="A8" s="720" t="s">
        <v>413</v>
      </c>
      <c r="B8" s="721"/>
      <c r="C8" s="721"/>
      <c r="D8" s="512" t="str">
        <f>IF(A8="","",VLOOKUP(A8,수종별재적표!B$14:$H$33,5,FALSE))</f>
        <v>제재</v>
      </c>
      <c r="E8" s="281">
        <f>IF(A8="","",VLOOKUP(A8,수종별재적표!$B$14:$H$33,6,FALSE))</f>
        <v>88</v>
      </c>
      <c r="F8" s="282" t="s">
        <v>433</v>
      </c>
      <c r="G8" s="283">
        <v>225000</v>
      </c>
      <c r="H8" s="283">
        <f>IF(A8="","",IF(VLOOKUP(A8,기본자료!$B$87:$C$104,2,FALSE)="Y",I$50,I$48))</f>
        <v>12005</v>
      </c>
      <c r="I8" s="283">
        <f t="shared" si="0"/>
        <v>43282</v>
      </c>
      <c r="J8" s="283">
        <f>IF(A8="","",ROUND((H8+I8)*기본자료!$E$57/100+$E$90,0))</f>
        <v>620</v>
      </c>
      <c r="K8" s="283">
        <f>IF(A8="","",IF(기본자료!$K$67&lt;&gt;"",ROUND(기본자료!$K$67*G8,0),ROUND(G8*$E$100,0)))</f>
        <v>1980</v>
      </c>
      <c r="L8" s="284">
        <f t="shared" si="1"/>
        <v>57887</v>
      </c>
      <c r="M8" s="284">
        <f t="shared" si="2"/>
        <v>167113</v>
      </c>
      <c r="N8" s="285">
        <f t="shared" si="3"/>
        <v>147059</v>
      </c>
      <c r="O8" s="309">
        <v>5000</v>
      </c>
      <c r="P8" s="256" t="s">
        <v>448</v>
      </c>
      <c r="Q8" s="256"/>
      <c r="R8" s="256"/>
      <c r="S8" s="256"/>
      <c r="T8" s="256"/>
      <c r="U8" s="256"/>
    </row>
    <row r="9" spans="1:21" x14ac:dyDescent="0.3">
      <c r="A9" s="720" t="s">
        <v>413</v>
      </c>
      <c r="B9" s="721"/>
      <c r="C9" s="721"/>
      <c r="D9" s="512" t="str">
        <f>IF(A9="","",VLOOKUP(A9,수종별재적표!B$14:$H$33,5,FALSE))</f>
        <v>제재</v>
      </c>
      <c r="E9" s="281">
        <f>IF(A9="","",VLOOKUP(A9,수종별재적표!$B$14:$H$33,6,FALSE))</f>
        <v>88</v>
      </c>
      <c r="F9" s="282" t="s">
        <v>427</v>
      </c>
      <c r="G9" s="283">
        <v>183000</v>
      </c>
      <c r="H9" s="283">
        <f>IF(A9="","",IF(VLOOKUP(A9,기본자료!$B$87:$C$104,2,FALSE)="Y",I$50,I$48))</f>
        <v>12005</v>
      </c>
      <c r="I9" s="283">
        <f t="shared" si="0"/>
        <v>37082</v>
      </c>
      <c r="J9" s="283">
        <f>IF(A9="","",ROUND((H9+I9)*기본자료!$E$57/100+$E$90,0))</f>
        <v>620</v>
      </c>
      <c r="K9" s="283">
        <f>IF(A9="","",IF(기본자료!$K$67&lt;&gt;"",ROUND(기본자료!$K$67*G9,0),ROUND(G9*$E$100,0)))</f>
        <v>1610</v>
      </c>
      <c r="L9" s="284">
        <f t="shared" si="1"/>
        <v>51317</v>
      </c>
      <c r="M9" s="284">
        <f t="shared" si="2"/>
        <v>131683</v>
      </c>
      <c r="N9" s="285">
        <f t="shared" si="3"/>
        <v>115881</v>
      </c>
      <c r="O9" s="309">
        <v>5000</v>
      </c>
      <c r="P9" s="256" t="s">
        <v>448</v>
      </c>
      <c r="Q9" s="256"/>
      <c r="R9" s="256"/>
      <c r="S9" s="256"/>
      <c r="T9" s="256"/>
      <c r="U9" s="256"/>
    </row>
    <row r="10" spans="1:21" x14ac:dyDescent="0.3">
      <c r="A10" s="720" t="s">
        <v>416</v>
      </c>
      <c r="B10" s="721"/>
      <c r="C10" s="721"/>
      <c r="D10" s="512" t="str">
        <f>IF(A10="","",VLOOKUP(A10,수종별재적표!B$14:$H$33,5,FALSE))</f>
        <v>칩,펄프</v>
      </c>
      <c r="E10" s="281">
        <f>IF(A10="","",VLOOKUP(A10,수종별재적표!$B$14:$H$33,6,FALSE))</f>
        <v>88</v>
      </c>
      <c r="F10" s="282" t="s">
        <v>424</v>
      </c>
      <c r="G10" s="283">
        <v>54000</v>
      </c>
      <c r="H10" s="283">
        <f>IF(A10="","",IF(VLOOKUP(A10,기본자료!$B$87:$C$104,2,FALSE)="Y",I$50,I$48))</f>
        <v>12005</v>
      </c>
      <c r="I10" s="283">
        <f t="shared" si="0"/>
        <v>30882</v>
      </c>
      <c r="J10" s="283">
        <f>IF(A10="","",ROUND((H10+I10)*기본자료!$E$57/100+$E$90,0))</f>
        <v>620</v>
      </c>
      <c r="K10" s="283">
        <f>IF(A10="","",IF(기본자료!$K$67&lt;&gt;"",ROUND(기본자료!$K$67*G10,0),ROUND(G10*$E$100,0)))</f>
        <v>475</v>
      </c>
      <c r="L10" s="284">
        <f t="shared" si="1"/>
        <v>43982</v>
      </c>
      <c r="M10" s="284">
        <f t="shared" si="2"/>
        <v>10018</v>
      </c>
      <c r="N10" s="285">
        <f t="shared" si="3"/>
        <v>8816</v>
      </c>
      <c r="O10" s="309">
        <v>5000</v>
      </c>
      <c r="P10" s="256" t="s">
        <v>448</v>
      </c>
      <c r="Q10" s="256"/>
      <c r="R10" s="256"/>
      <c r="S10" s="256"/>
      <c r="T10" s="256"/>
      <c r="U10" s="256"/>
    </row>
    <row r="11" spans="1:21" x14ac:dyDescent="0.3">
      <c r="A11" s="720" t="s">
        <v>418</v>
      </c>
      <c r="B11" s="721"/>
      <c r="C11" s="721"/>
      <c r="D11" s="512" t="str">
        <f>IF(A11="","",VLOOKUP(A11,수종별재적표!B$14:$H$33,5,FALSE))</f>
        <v>제재</v>
      </c>
      <c r="E11" s="281">
        <f>IF(A11="","",VLOOKUP(A11,수종별재적표!$B$14:$H$33,6,FALSE))</f>
        <v>89.01</v>
      </c>
      <c r="F11" s="282" t="s">
        <v>425</v>
      </c>
      <c r="G11" s="283">
        <v>160560</v>
      </c>
      <c r="H11" s="283">
        <f>IF(A11="","",IF(VLOOKUP(A11,기본자료!$B$87:$C$104,2,FALSE)="Y",I$50,I$48))</f>
        <v>12005</v>
      </c>
      <c r="I11" s="283">
        <f t="shared" si="0"/>
        <v>30882</v>
      </c>
      <c r="J11" s="283">
        <f>IF(A11="","",ROUND((H11+I11)*기본자료!$E$57/100+$E$90,0))</f>
        <v>620</v>
      </c>
      <c r="K11" s="283">
        <f>IF(A11="","",IF(기본자료!$K$67&lt;&gt;"",ROUND(기본자료!$K$67*G11,0),ROUND(G11*$E$100,0)))</f>
        <v>1413</v>
      </c>
      <c r="L11" s="284">
        <f t="shared" si="1"/>
        <v>44920</v>
      </c>
      <c r="M11" s="284">
        <f t="shared" si="2"/>
        <v>115640</v>
      </c>
      <c r="N11" s="285">
        <f t="shared" si="3"/>
        <v>102931</v>
      </c>
      <c r="O11" s="309">
        <v>5000</v>
      </c>
      <c r="P11" s="256" t="s">
        <v>448</v>
      </c>
      <c r="Q11" s="256"/>
      <c r="R11" s="256"/>
      <c r="S11" s="256"/>
      <c r="T11" s="256"/>
      <c r="U11" s="256"/>
    </row>
    <row r="12" spans="1:21" x14ac:dyDescent="0.3">
      <c r="A12" s="720" t="s">
        <v>419</v>
      </c>
      <c r="B12" s="721"/>
      <c r="C12" s="721"/>
      <c r="D12" s="512" t="str">
        <f>IF(A12="","",VLOOKUP(A12,수종별재적표!B$14:$H$33,5,FALSE))</f>
        <v>칩,펄프</v>
      </c>
      <c r="E12" s="281">
        <f>IF(A12="","",VLOOKUP(A12,수종별재적표!$B$14:$H$33,6,FALSE))</f>
        <v>89.01</v>
      </c>
      <c r="F12" s="282" t="s">
        <v>424</v>
      </c>
      <c r="G12" s="283">
        <v>54500</v>
      </c>
      <c r="H12" s="283">
        <f>IF(A12="","",IF(VLOOKUP(A12,기본자료!$B$87:$C$104,2,FALSE)="Y",I$50,I$48))</f>
        <v>12005</v>
      </c>
      <c r="I12" s="283">
        <f t="shared" si="0"/>
        <v>30882</v>
      </c>
      <c r="J12" s="283">
        <f>IF(A12="","",ROUND((H12+I12)*기본자료!$E$57/100+$E$90,0))</f>
        <v>620</v>
      </c>
      <c r="K12" s="283">
        <f>IF(A12="","",IF(기본자료!$K$67&lt;&gt;"",ROUND(기본자료!$K$67*G12,0),ROUND(G12*$E$100,0)))</f>
        <v>480</v>
      </c>
      <c r="L12" s="284">
        <f t="shared" si="1"/>
        <v>43987</v>
      </c>
      <c r="M12" s="284">
        <f t="shared" si="2"/>
        <v>10513</v>
      </c>
      <c r="N12" s="285">
        <f t="shared" si="3"/>
        <v>9358</v>
      </c>
      <c r="O12" s="309">
        <v>5000</v>
      </c>
      <c r="P12" s="256" t="s">
        <v>448</v>
      </c>
      <c r="Q12" s="256"/>
      <c r="R12" s="256"/>
      <c r="S12" s="256"/>
      <c r="T12" s="256"/>
      <c r="U12" s="256"/>
    </row>
    <row r="13" spans="1:21" x14ac:dyDescent="0.3">
      <c r="A13" s="720" t="s">
        <v>420</v>
      </c>
      <c r="B13" s="721"/>
      <c r="C13" s="721"/>
      <c r="D13" s="512" t="str">
        <f>IF(A13="","",VLOOKUP(A13,수종별재적표!B$14:$H$33,5,FALSE))</f>
        <v>칩,펄프</v>
      </c>
      <c r="E13" s="281">
        <f>IF(A13="","",VLOOKUP(A13,수종별재적표!$B$14:$H$33,6,FALSE))</f>
        <v>76</v>
      </c>
      <c r="F13" s="282" t="s">
        <v>424</v>
      </c>
      <c r="G13" s="283">
        <v>61000</v>
      </c>
      <c r="H13" s="283">
        <f>IF(A13="","",IF(VLOOKUP(A13,기본자료!$B$87:$C$104,2,FALSE)="Y",I$50,I$48))</f>
        <v>12005</v>
      </c>
      <c r="I13" s="283">
        <f t="shared" si="0"/>
        <v>33482</v>
      </c>
      <c r="J13" s="283">
        <f>IF(A13="","",ROUND((H13+I13)*기본자료!$E$57/100+$E$90,0))</f>
        <v>620</v>
      </c>
      <c r="K13" s="283">
        <f>IF(A13="","",IF(기본자료!$K$67&lt;&gt;"",ROUND(기본자료!$K$67*G13,0),ROUND(G13*$E$100,0)))</f>
        <v>537</v>
      </c>
      <c r="L13" s="284">
        <f t="shared" si="1"/>
        <v>46644</v>
      </c>
      <c r="M13" s="284">
        <f t="shared" si="2"/>
        <v>14356</v>
      </c>
      <c r="N13" s="285">
        <f t="shared" si="3"/>
        <v>10911</v>
      </c>
      <c r="O13" s="309">
        <v>5000</v>
      </c>
      <c r="P13" s="256" t="s">
        <v>448</v>
      </c>
      <c r="Q13" s="256"/>
      <c r="R13" s="256"/>
      <c r="S13" s="256"/>
      <c r="T13" s="256"/>
      <c r="U13" s="256"/>
    </row>
    <row r="14" spans="1:21" x14ac:dyDescent="0.3">
      <c r="A14" s="720"/>
      <c r="B14" s="721"/>
      <c r="C14" s="721"/>
      <c r="D14" s="512" t="str">
        <f>IF(A14="","",VLOOKUP(A14,수종별재적표!B$14:$H$33,5,FALSE))</f>
        <v/>
      </c>
      <c r="E14" s="281" t="str">
        <f>IF(A14="","",VLOOKUP(A14,수종별재적표!$B$14:$H$33,6,FALSE))</f>
        <v/>
      </c>
      <c r="F14" s="282"/>
      <c r="G14" s="283"/>
      <c r="H14" s="283" t="str">
        <f>IF(A14="","",IF(VLOOKUP(A14,기본자료!$B$87:$C$104,2,FALSE)="Y",I$50,I$48))</f>
        <v/>
      </c>
      <c r="I14" s="283" t="str">
        <f t="shared" si="0"/>
        <v/>
      </c>
      <c r="J14" s="283" t="str">
        <f>IF(A14="","",ROUND((H14+I14)*기본자료!$E$57/100+$E$90,0))</f>
        <v/>
      </c>
      <c r="K14" s="283" t="str">
        <f>IF(A14="","",IF(기본자료!$K$67&lt;&gt;"",ROUND(기본자료!$K$67*G14,0),ROUND(G14*$E$100,0)))</f>
        <v/>
      </c>
      <c r="L14" s="284" t="str">
        <f t="shared" si="1"/>
        <v/>
      </c>
      <c r="M14" s="284" t="str">
        <f t="shared" si="2"/>
        <v/>
      </c>
      <c r="N14" s="285" t="str">
        <f t="shared" si="3"/>
        <v/>
      </c>
      <c r="O14" s="309"/>
      <c r="P14" s="256"/>
      <c r="Q14" s="256"/>
      <c r="R14" s="256"/>
      <c r="S14" s="256"/>
      <c r="T14" s="256"/>
      <c r="U14" s="256"/>
    </row>
    <row r="15" spans="1:21" x14ac:dyDescent="0.3">
      <c r="A15" s="720"/>
      <c r="B15" s="721"/>
      <c r="C15" s="721"/>
      <c r="D15" s="512" t="str">
        <f>IF(A15="","",VLOOKUP(A15,수종별재적표!B$14:$H$33,5,FALSE))</f>
        <v/>
      </c>
      <c r="E15" s="281" t="str">
        <f>IF(A15="","",VLOOKUP(A15,수종별재적표!$B$14:$H$33,6,FALSE))</f>
        <v/>
      </c>
      <c r="F15" s="282"/>
      <c r="G15" s="283"/>
      <c r="H15" s="283" t="str">
        <f>IF(A15="","",IF(VLOOKUP(A15,기본자료!$B$87:$C$104,2,FALSE)="Y",I$50,I$48))</f>
        <v/>
      </c>
      <c r="I15" s="283" t="str">
        <f t="shared" si="0"/>
        <v/>
      </c>
      <c r="J15" s="283" t="str">
        <f>IF(A15="","",ROUND((H15+I15)*기본자료!$E$57/100+$E$90,0))</f>
        <v/>
      </c>
      <c r="K15" s="283" t="str">
        <f>IF(A15="","",IF(기본자료!$K$67&lt;&gt;"",ROUND(기본자료!$K$67*G15,0),ROUND(G15*$E$100,0)))</f>
        <v/>
      </c>
      <c r="L15" s="284" t="str">
        <f t="shared" si="1"/>
        <v/>
      </c>
      <c r="M15" s="284" t="str">
        <f t="shared" si="2"/>
        <v/>
      </c>
      <c r="N15" s="285" t="str">
        <f t="shared" si="3"/>
        <v/>
      </c>
      <c r="O15" s="309"/>
      <c r="P15" s="256"/>
      <c r="Q15" s="256"/>
      <c r="R15" s="256"/>
      <c r="S15" s="256"/>
      <c r="T15" s="256"/>
      <c r="U15" s="256"/>
    </row>
    <row r="16" spans="1:21" x14ac:dyDescent="0.3">
      <c r="A16" s="720"/>
      <c r="B16" s="721"/>
      <c r="C16" s="721"/>
      <c r="D16" s="512" t="str">
        <f>IF(A16="","",VLOOKUP(A16,수종별재적표!B$14:$H$33,5,FALSE))</f>
        <v/>
      </c>
      <c r="E16" s="281" t="str">
        <f>IF(A16="","",VLOOKUP(A16,수종별재적표!$B$14:$H$33,6,FALSE))</f>
        <v/>
      </c>
      <c r="F16" s="282"/>
      <c r="G16" s="283"/>
      <c r="H16" s="283" t="str">
        <f>IF(A16="","",IF(VLOOKUP(A16,기본자료!$B$87:$C$104,2,FALSE)="Y",I$50,I$48))</f>
        <v/>
      </c>
      <c r="I16" s="283" t="str">
        <f t="shared" si="0"/>
        <v/>
      </c>
      <c r="J16" s="283" t="str">
        <f>IF(A16="","",ROUND((H16+I16)*기본자료!$E$57/100+$E$90,0))</f>
        <v/>
      </c>
      <c r="K16" s="283" t="str">
        <f>IF(A16="","",IF(기본자료!$K$67&lt;&gt;"",ROUND(기본자료!$K$67*G16,0),ROUND(G16*$E$100,0)))</f>
        <v/>
      </c>
      <c r="L16" s="284" t="str">
        <f t="shared" si="1"/>
        <v/>
      </c>
      <c r="M16" s="284" t="str">
        <f t="shared" si="2"/>
        <v/>
      </c>
      <c r="N16" s="285" t="str">
        <f t="shared" si="3"/>
        <v/>
      </c>
      <c r="O16" s="309"/>
      <c r="P16" s="256"/>
      <c r="Q16" s="256"/>
      <c r="R16" s="256"/>
      <c r="S16" s="256"/>
      <c r="T16" s="256"/>
      <c r="U16" s="256"/>
    </row>
    <row r="17" spans="1:21" x14ac:dyDescent="0.3">
      <c r="A17" s="720"/>
      <c r="B17" s="721"/>
      <c r="C17" s="721"/>
      <c r="D17" s="512" t="str">
        <f>IF(A17="","",VLOOKUP(A17,수종별재적표!B$14:$H$33,5,FALSE))</f>
        <v/>
      </c>
      <c r="E17" s="281" t="str">
        <f>IF(A17="","",VLOOKUP(A17,수종별재적표!$B$14:$H$33,6,FALSE))</f>
        <v/>
      </c>
      <c r="F17" s="282"/>
      <c r="G17" s="283"/>
      <c r="H17" s="283" t="str">
        <f>IF(A17="","",IF(VLOOKUP(A17,기본자료!$B$87:$C$104,2,FALSE)="Y",I$50,I$48))</f>
        <v/>
      </c>
      <c r="I17" s="283" t="str">
        <f t="shared" si="0"/>
        <v/>
      </c>
      <c r="J17" s="283" t="str">
        <f>IF(A17="","",ROUND((H17+I17)*기본자료!$E$57/100+$E$90,0))</f>
        <v/>
      </c>
      <c r="K17" s="283" t="str">
        <f>IF(A17="","",IF(기본자료!$K$67&lt;&gt;"",ROUND(기본자료!$K$67*G17,0),ROUND(G17*$E$100,0)))</f>
        <v/>
      </c>
      <c r="L17" s="284" t="str">
        <f t="shared" si="1"/>
        <v/>
      </c>
      <c r="M17" s="284" t="str">
        <f t="shared" si="2"/>
        <v/>
      </c>
      <c r="N17" s="285" t="str">
        <f t="shared" si="3"/>
        <v/>
      </c>
      <c r="O17" s="309"/>
      <c r="P17" s="256"/>
      <c r="Q17" s="256"/>
      <c r="R17" s="256" t="s">
        <v>161</v>
      </c>
      <c r="S17" s="256"/>
      <c r="T17" s="256"/>
      <c r="U17" s="256"/>
    </row>
    <row r="18" spans="1:21" x14ac:dyDescent="0.3">
      <c r="A18" s="722"/>
      <c r="B18" s="723"/>
      <c r="C18" s="723"/>
      <c r="D18" s="512" t="str">
        <f>IF(A18="","",VLOOKUP(A18,수종별재적표!B$14:$H$33,5,FALSE))</f>
        <v/>
      </c>
      <c r="E18" s="281" t="str">
        <f>IF(A18="","",VLOOKUP(A18,수종별재적표!$B$14:$H$33,6,FALSE))</f>
        <v/>
      </c>
      <c r="F18" s="146"/>
      <c r="G18" s="286"/>
      <c r="H18" s="283" t="str">
        <f>IF(A18="","",IF(VLOOKUP(A18,기본자료!$B$87:$C$104,2,FALSE)="Y",I$50,I$48))</f>
        <v/>
      </c>
      <c r="I18" s="283" t="str">
        <f t="shared" si="0"/>
        <v/>
      </c>
      <c r="J18" s="283" t="str">
        <f>IF(A18="","",ROUND((H18+I18)*기본자료!$E$57/100+$E$90,0))</f>
        <v/>
      </c>
      <c r="K18" s="283" t="str">
        <f>IF(A18="","",IF(기본자료!$K$67&lt;&gt;"",ROUND(기본자료!$K$67*G18,0),ROUND(G18*$E$100,0)))</f>
        <v/>
      </c>
      <c r="L18" s="287" t="str">
        <f t="shared" si="1"/>
        <v/>
      </c>
      <c r="M18" s="287" t="str">
        <f t="shared" si="2"/>
        <v/>
      </c>
      <c r="N18" s="288" t="str">
        <f t="shared" si="3"/>
        <v/>
      </c>
      <c r="O18" s="309"/>
      <c r="P18" s="256" t="s">
        <v>162</v>
      </c>
      <c r="Q18" s="256"/>
      <c r="R18" s="256"/>
      <c r="S18" s="256"/>
      <c r="T18" s="256"/>
      <c r="U18" s="256"/>
    </row>
    <row r="19" spans="1:21" x14ac:dyDescent="0.3">
      <c r="A19" s="720"/>
      <c r="B19" s="721"/>
      <c r="C19" s="721"/>
      <c r="D19" s="512" t="str">
        <f>IF(A19="","",VLOOKUP(A19,수종별재적표!B$14:$H$33,5,FALSE))</f>
        <v/>
      </c>
      <c r="E19" s="281" t="str">
        <f>IF(A19="","",VLOOKUP(A19,수종별재적표!$B$14:$H$33,6,FALSE))</f>
        <v/>
      </c>
      <c r="F19" s="282"/>
      <c r="G19" s="283"/>
      <c r="H19" s="283" t="str">
        <f>IF(A19="","",IF(VLOOKUP(A19,기본자료!$B$87:$C$104,2,FALSE)="Y",I$50,I$48))</f>
        <v/>
      </c>
      <c r="I19" s="283" t="str">
        <f t="shared" si="0"/>
        <v/>
      </c>
      <c r="J19" s="283" t="str">
        <f>IF(A19="","",ROUND((H19+I19)*기본자료!$E$57/100+$E$90,0))</f>
        <v/>
      </c>
      <c r="K19" s="283" t="str">
        <f>IF(A19="","",IF(기본자료!$K$67&lt;&gt;"",ROUND(기본자료!$K$67*G19,0),ROUND(G19*$E$100,0)))</f>
        <v/>
      </c>
      <c r="L19" s="284" t="str">
        <f t="shared" si="1"/>
        <v/>
      </c>
      <c r="M19" s="284" t="str">
        <f t="shared" si="2"/>
        <v/>
      </c>
      <c r="N19" s="285" t="str">
        <f t="shared" si="3"/>
        <v/>
      </c>
      <c r="O19" s="309"/>
      <c r="P19" s="256"/>
      <c r="Q19" s="256"/>
      <c r="R19" s="256"/>
      <c r="S19" s="256"/>
      <c r="T19" s="256"/>
      <c r="U19" s="256"/>
    </row>
    <row r="20" spans="1:21" x14ac:dyDescent="0.3">
      <c r="A20" s="720"/>
      <c r="B20" s="721"/>
      <c r="C20" s="721"/>
      <c r="D20" s="512" t="str">
        <f>IF(A20="","",VLOOKUP(A20,수종별재적표!B$14:$H$33,5,FALSE))</f>
        <v/>
      </c>
      <c r="E20" s="281" t="str">
        <f>IF(A20="","",VLOOKUP(A20,수종별재적표!$B$14:$H$33,6,FALSE))</f>
        <v/>
      </c>
      <c r="F20" s="282"/>
      <c r="G20" s="283"/>
      <c r="H20" s="283" t="str">
        <f>IF(A20="","",IF(VLOOKUP(A20,기본자료!$B$87:$C$104,2,FALSE)="Y",I$50,I$48))</f>
        <v/>
      </c>
      <c r="I20" s="283" t="str">
        <f t="shared" si="0"/>
        <v/>
      </c>
      <c r="J20" s="283" t="str">
        <f>IF(A20="","",ROUND((H20+I20)*기본자료!$E$57/100+$E$90,0))</f>
        <v/>
      </c>
      <c r="K20" s="283" t="str">
        <f>IF(A20="","",IF(기본자료!$K$67&lt;&gt;"",ROUND(기본자료!$K$67*G20,0),ROUND(G20*$E$100,0)))</f>
        <v/>
      </c>
      <c r="L20" s="284" t="str">
        <f t="shared" si="1"/>
        <v/>
      </c>
      <c r="M20" s="284" t="str">
        <f t="shared" si="2"/>
        <v/>
      </c>
      <c r="N20" s="285" t="str">
        <f t="shared" si="3"/>
        <v/>
      </c>
      <c r="O20" s="309"/>
      <c r="P20" s="256"/>
      <c r="Q20" s="256"/>
      <c r="R20" s="256"/>
      <c r="S20" s="256"/>
      <c r="T20" s="256"/>
      <c r="U20" s="256"/>
    </row>
    <row r="21" spans="1:21" x14ac:dyDescent="0.3">
      <c r="A21" s="720"/>
      <c r="B21" s="721"/>
      <c r="C21" s="721"/>
      <c r="D21" s="512" t="str">
        <f>IF(A21="","",VLOOKUP(A21,수종별재적표!B$14:$H$33,5,FALSE))</f>
        <v/>
      </c>
      <c r="E21" s="281" t="str">
        <f>IF(A21="","",VLOOKUP(A21,수종별재적표!$B$14:$H$33,6,FALSE))</f>
        <v/>
      </c>
      <c r="F21" s="282"/>
      <c r="G21" s="283"/>
      <c r="H21" s="283" t="str">
        <f>IF(A21="","",IF(VLOOKUP(A21,기본자료!$B$87:$C$104,2,FALSE)="Y",I$50,I$48))</f>
        <v/>
      </c>
      <c r="I21" s="283" t="str">
        <f t="shared" si="0"/>
        <v/>
      </c>
      <c r="J21" s="283" t="str">
        <f>IF(A21="","",ROUND((H21+I21)*기본자료!$E$57/100+$E$90,0))</f>
        <v/>
      </c>
      <c r="K21" s="283" t="str">
        <f>IF(A21="","",IF(기본자료!$K$67&lt;&gt;"",ROUND(기본자료!$K$67*G21,0),ROUND(G21*$E$100,0)))</f>
        <v/>
      </c>
      <c r="L21" s="284" t="str">
        <f t="shared" si="1"/>
        <v/>
      </c>
      <c r="M21" s="284" t="str">
        <f t="shared" si="2"/>
        <v/>
      </c>
      <c r="N21" s="285" t="str">
        <f t="shared" si="3"/>
        <v/>
      </c>
      <c r="O21" s="309"/>
      <c r="P21" s="256"/>
      <c r="Q21" s="256"/>
      <c r="R21" s="256"/>
      <c r="S21" s="256"/>
      <c r="T21" s="256"/>
      <c r="U21" s="256"/>
    </row>
    <row r="22" spans="1:21" x14ac:dyDescent="0.3">
      <c r="A22" s="720"/>
      <c r="B22" s="721"/>
      <c r="C22" s="721"/>
      <c r="D22" s="512" t="str">
        <f>IF(A22="","",VLOOKUP(A22,수종별재적표!B$14:$H$33,5,FALSE))</f>
        <v/>
      </c>
      <c r="E22" s="281" t="str">
        <f>IF(A22="","",VLOOKUP(A22,수종별재적표!$B$14:$H$33,6,FALSE))</f>
        <v/>
      </c>
      <c r="F22" s="282"/>
      <c r="G22" s="283"/>
      <c r="H22" s="283" t="str">
        <f>IF(A22="","",IF(VLOOKUP(A22,기본자료!$B$87:$C$104,2,FALSE)="Y",I$50,I$48))</f>
        <v/>
      </c>
      <c r="I22" s="283" t="str">
        <f t="shared" si="0"/>
        <v/>
      </c>
      <c r="J22" s="283" t="str">
        <f>IF(A22="","",ROUND((H22+I22)*기본자료!$E$57/100+$E$90,0))</f>
        <v/>
      </c>
      <c r="K22" s="283" t="str">
        <f>IF(A22="","",IF(기본자료!$K$67&lt;&gt;"",ROUND(기본자료!$K$67*G22,0),ROUND(G22*$E$100,0)))</f>
        <v/>
      </c>
      <c r="L22" s="284" t="str">
        <f t="shared" si="1"/>
        <v/>
      </c>
      <c r="M22" s="284" t="str">
        <f t="shared" si="2"/>
        <v/>
      </c>
      <c r="N22" s="285" t="str">
        <f t="shared" si="3"/>
        <v/>
      </c>
      <c r="O22" s="309"/>
      <c r="P22" s="256"/>
      <c r="Q22" s="256"/>
      <c r="R22" s="256"/>
      <c r="S22" s="256"/>
      <c r="T22" s="256"/>
      <c r="U22" s="256"/>
    </row>
    <row r="23" spans="1:21" x14ac:dyDescent="0.3">
      <c r="A23" s="720"/>
      <c r="B23" s="721"/>
      <c r="C23" s="721"/>
      <c r="D23" s="512" t="str">
        <f>IF(A23="","",VLOOKUP(A23,수종별재적표!B$14:$H$33,5,FALSE))</f>
        <v/>
      </c>
      <c r="E23" s="281" t="str">
        <f>IF(A23="","",VLOOKUP(A23,수종별재적표!$B$14:$H$33,6,FALSE))</f>
        <v/>
      </c>
      <c r="F23" s="282"/>
      <c r="G23" s="283"/>
      <c r="H23" s="283" t="str">
        <f>IF(A23="","",IF(VLOOKUP(A23,기본자료!$B$87:$C$104,2,FALSE)="Y",I$50,I$48))</f>
        <v/>
      </c>
      <c r="I23" s="283" t="str">
        <f t="shared" si="0"/>
        <v/>
      </c>
      <c r="J23" s="283" t="str">
        <f>IF(A23="","",ROUND((H23+I23)*기본자료!$E$57/100+$E$90,0))</f>
        <v/>
      </c>
      <c r="K23" s="283" t="str">
        <f>IF(A23="","",IF(기본자료!$K$67&lt;&gt;"",ROUND(기본자료!$K$67*G23,0),ROUND(G23*$E$100,0)))</f>
        <v/>
      </c>
      <c r="L23" s="284" t="str">
        <f t="shared" si="1"/>
        <v/>
      </c>
      <c r="M23" s="284" t="str">
        <f t="shared" si="2"/>
        <v/>
      </c>
      <c r="N23" s="285" t="str">
        <f t="shared" si="3"/>
        <v/>
      </c>
      <c r="O23" s="309"/>
      <c r="P23" s="256"/>
      <c r="Q23" s="256"/>
      <c r="R23" s="256"/>
      <c r="S23" s="256"/>
      <c r="T23" s="256"/>
      <c r="U23" s="256"/>
    </row>
    <row r="24" spans="1:21" x14ac:dyDescent="0.3">
      <c r="A24" s="720"/>
      <c r="B24" s="721"/>
      <c r="C24" s="721"/>
      <c r="D24" s="512" t="str">
        <f>IF(A24="","",VLOOKUP(A24,수종별재적표!B$14:$H$33,5,FALSE))</f>
        <v/>
      </c>
      <c r="E24" s="281" t="str">
        <f>IF(A24="","",VLOOKUP(A24,수종별재적표!$B$14:$H$33,6,FALSE))</f>
        <v/>
      </c>
      <c r="F24" s="282"/>
      <c r="G24" s="283"/>
      <c r="H24" s="283" t="str">
        <f>IF(A24="","",IF(VLOOKUP(A24,기본자료!$B$87:$C$104,2,FALSE)="Y",I$50,I$48))</f>
        <v/>
      </c>
      <c r="I24" s="283" t="str">
        <f t="shared" si="0"/>
        <v/>
      </c>
      <c r="J24" s="283" t="str">
        <f>IF(A24="","",ROUND((H24+I24)*기본자료!$E$57/100+$E$90,0))</f>
        <v/>
      </c>
      <c r="K24" s="283" t="str">
        <f>IF(A24="","",IF(기본자료!$K$67&lt;&gt;"",ROUND(기본자료!$K$67*G24,0),ROUND(G24*$E$100,0)))</f>
        <v/>
      </c>
      <c r="L24" s="284" t="str">
        <f t="shared" si="1"/>
        <v/>
      </c>
      <c r="M24" s="284" t="str">
        <f t="shared" si="2"/>
        <v/>
      </c>
      <c r="N24" s="285" t="str">
        <f t="shared" si="3"/>
        <v/>
      </c>
      <c r="O24" s="309"/>
      <c r="P24" s="256"/>
      <c r="Q24" s="256"/>
      <c r="R24" s="256"/>
      <c r="S24" s="256"/>
      <c r="T24" s="256"/>
      <c r="U24" s="256"/>
    </row>
    <row r="25" spans="1:21" x14ac:dyDescent="0.3">
      <c r="A25" s="720"/>
      <c r="B25" s="721"/>
      <c r="C25" s="721"/>
      <c r="D25" s="512" t="str">
        <f>IF(A25="","",VLOOKUP(A25,수종별재적표!B$14:$H$33,5,FALSE))</f>
        <v/>
      </c>
      <c r="E25" s="281" t="str">
        <f>IF(A25="","",VLOOKUP(A25,수종별재적표!$B$14:$H$33,6,FALSE))</f>
        <v/>
      </c>
      <c r="F25" s="282"/>
      <c r="G25" s="283"/>
      <c r="H25" s="283" t="str">
        <f>IF(A25="","",IF(VLOOKUP(A25,기본자료!$B$87:$C$104,2,FALSE)="Y",I$50,I$48))</f>
        <v/>
      </c>
      <c r="I25" s="283" t="str">
        <f t="shared" si="0"/>
        <v/>
      </c>
      <c r="J25" s="283" t="str">
        <f>IF(A25="","",ROUND((H25+I25)*기본자료!$E$57/100+$E$90,0))</f>
        <v/>
      </c>
      <c r="K25" s="283" t="str">
        <f>IF(A25="","",IF(기본자료!$K$67&lt;&gt;"",ROUND(기본자료!$K$67*G25,0),ROUND(G25*$E$100,0)))</f>
        <v/>
      </c>
      <c r="L25" s="284" t="str">
        <f t="shared" si="1"/>
        <v/>
      </c>
      <c r="M25" s="284" t="str">
        <f t="shared" si="2"/>
        <v/>
      </c>
      <c r="N25" s="285" t="str">
        <f t="shared" si="3"/>
        <v/>
      </c>
      <c r="O25" s="309"/>
      <c r="P25" s="256"/>
      <c r="Q25" s="256"/>
      <c r="R25" s="256"/>
      <c r="S25" s="256"/>
      <c r="T25" s="256"/>
      <c r="U25" s="256"/>
    </row>
    <row r="26" spans="1:21" x14ac:dyDescent="0.3">
      <c r="A26" s="720"/>
      <c r="B26" s="721"/>
      <c r="C26" s="721"/>
      <c r="D26" s="512" t="str">
        <f>IF(A26="","",VLOOKUP(A26,수종별재적표!B$14:$H$33,5,FALSE))</f>
        <v/>
      </c>
      <c r="E26" s="281" t="str">
        <f>IF(A26="","",VLOOKUP(A26,수종별재적표!$B$14:$H$33,6,FALSE))</f>
        <v/>
      </c>
      <c r="F26" s="282"/>
      <c r="G26" s="283"/>
      <c r="H26" s="283" t="str">
        <f>IF(A26="","",IF(VLOOKUP(A26,기본자료!$B$87:$C$104,2,FALSE)="Y",I$50,I$48))</f>
        <v/>
      </c>
      <c r="I26" s="283" t="str">
        <f t="shared" si="0"/>
        <v/>
      </c>
      <c r="J26" s="283" t="str">
        <f>IF(A26="","",ROUND((H26+I26)*기본자료!$E$57/100+$E$90,0))</f>
        <v/>
      </c>
      <c r="K26" s="283" t="str">
        <f>IF(A26="","",IF(기본자료!$K$67&lt;&gt;"",ROUND(기본자료!$K$67*G26,0),ROUND(G26*$E$100,0)))</f>
        <v/>
      </c>
      <c r="L26" s="284" t="str">
        <f t="shared" si="1"/>
        <v/>
      </c>
      <c r="M26" s="284" t="str">
        <f t="shared" si="2"/>
        <v/>
      </c>
      <c r="N26" s="285" t="str">
        <f t="shared" si="3"/>
        <v/>
      </c>
      <c r="O26" s="309"/>
      <c r="P26" s="256"/>
      <c r="Q26" s="256"/>
      <c r="R26" s="256"/>
      <c r="S26" s="256"/>
      <c r="T26" s="256"/>
      <c r="U26" s="256"/>
    </row>
    <row r="27" spans="1:21" x14ac:dyDescent="0.3">
      <c r="A27" s="720"/>
      <c r="B27" s="721"/>
      <c r="C27" s="721"/>
      <c r="D27" s="512" t="str">
        <f>IF(A27="","",VLOOKUP(A27,수종별재적표!B$14:$H$33,5,FALSE))</f>
        <v/>
      </c>
      <c r="E27" s="281" t="str">
        <f>IF(A27="","",VLOOKUP(A27,수종별재적표!$B$14:$H$33,6,FALSE))</f>
        <v/>
      </c>
      <c r="F27" s="282"/>
      <c r="G27" s="283"/>
      <c r="H27" s="283" t="str">
        <f>IF(A27="","",IF(VLOOKUP(A27,기본자료!$B$87:$C$104,2,FALSE)="Y",I$50,I$48))</f>
        <v/>
      </c>
      <c r="I27" s="283" t="str">
        <f t="shared" si="0"/>
        <v/>
      </c>
      <c r="J27" s="283" t="str">
        <f>IF(A27="","",ROUND((H27+I27)*기본자료!$E$57/100+$E$90,0))</f>
        <v/>
      </c>
      <c r="K27" s="283" t="str">
        <f>IF(A27="","",IF(기본자료!$K$67&lt;&gt;"",ROUND(기본자료!$K$67*G27,0),ROUND(G27*$E$100,0)))</f>
        <v/>
      </c>
      <c r="L27" s="284" t="str">
        <f t="shared" si="1"/>
        <v/>
      </c>
      <c r="M27" s="284" t="str">
        <f t="shared" si="2"/>
        <v/>
      </c>
      <c r="N27" s="285" t="str">
        <f t="shared" si="3"/>
        <v/>
      </c>
      <c r="O27" s="309"/>
      <c r="P27" s="256"/>
      <c r="Q27" s="256"/>
      <c r="R27" s="256"/>
      <c r="S27" s="256"/>
      <c r="T27" s="256"/>
      <c r="U27" s="256"/>
    </row>
    <row r="28" spans="1:21" x14ac:dyDescent="0.3">
      <c r="A28" s="720"/>
      <c r="B28" s="721"/>
      <c r="C28" s="721"/>
      <c r="D28" s="512" t="str">
        <f>IF(A28="","",VLOOKUP(A28,수종별재적표!B$14:$H$33,5,FALSE))</f>
        <v/>
      </c>
      <c r="E28" s="281" t="str">
        <f>IF(A28="","",VLOOKUP(A28,수종별재적표!$B$14:$H$33,6,FALSE))</f>
        <v/>
      </c>
      <c r="F28" s="282"/>
      <c r="G28" s="283"/>
      <c r="H28" s="283" t="str">
        <f>IF(A28="","",IF(VLOOKUP(A28,기본자료!$B$87:$C$104,2,FALSE)="Y",I$50,I$48))</f>
        <v/>
      </c>
      <c r="I28" s="283" t="str">
        <f t="shared" si="0"/>
        <v/>
      </c>
      <c r="J28" s="283" t="str">
        <f>IF(A28="","",ROUND((H28+I28)*기본자료!$E$57/100+$E$90,0))</f>
        <v/>
      </c>
      <c r="K28" s="283" t="str">
        <f>IF(A28="","",IF(기본자료!$K$67&lt;&gt;"",ROUND(기본자료!$K$67*G28,0),ROUND(G28*$E$100,0)))</f>
        <v/>
      </c>
      <c r="L28" s="284" t="str">
        <f t="shared" si="1"/>
        <v/>
      </c>
      <c r="M28" s="284" t="str">
        <f t="shared" si="2"/>
        <v/>
      </c>
      <c r="N28" s="285" t="str">
        <f t="shared" si="3"/>
        <v/>
      </c>
      <c r="O28" s="309"/>
      <c r="P28" s="256"/>
      <c r="Q28" s="256"/>
      <c r="R28" s="256"/>
      <c r="S28" s="256"/>
      <c r="T28" s="256"/>
      <c r="U28" s="256"/>
    </row>
    <row r="29" spans="1:21" x14ac:dyDescent="0.3">
      <c r="A29" s="720"/>
      <c r="B29" s="721"/>
      <c r="C29" s="721"/>
      <c r="D29" s="512" t="str">
        <f>IF(A29="","",VLOOKUP(A29,수종별재적표!B$14:$H$33,5,FALSE))</f>
        <v/>
      </c>
      <c r="E29" s="281" t="str">
        <f>IF(A29="","",VLOOKUP(A29,수종별재적표!$B$14:$H$33,6,FALSE))</f>
        <v/>
      </c>
      <c r="F29" s="282"/>
      <c r="G29" s="283"/>
      <c r="H29" s="283" t="str">
        <f>IF(A29="","",IF(VLOOKUP(A29,기본자료!$B$87:$C$104,2,FALSE)="Y",I$50,I$48))</f>
        <v/>
      </c>
      <c r="I29" s="283" t="str">
        <f t="shared" si="0"/>
        <v/>
      </c>
      <c r="J29" s="283" t="str">
        <f>IF(A29="","",ROUND((H29+I29)*기본자료!$E$57/100+$E$90,0))</f>
        <v/>
      </c>
      <c r="K29" s="283" t="str">
        <f>IF(A29="","",IF(기본자료!$K$67&lt;&gt;"",ROUND(기본자료!$K$67*G29,0),ROUND(G29*$E$100,0)))</f>
        <v/>
      </c>
      <c r="L29" s="284" t="str">
        <f t="shared" si="1"/>
        <v/>
      </c>
      <c r="M29" s="284" t="str">
        <f t="shared" si="2"/>
        <v/>
      </c>
      <c r="N29" s="285" t="str">
        <f t="shared" si="3"/>
        <v/>
      </c>
      <c r="O29" s="309"/>
      <c r="P29" s="256"/>
      <c r="Q29" s="256"/>
      <c r="R29" s="256"/>
      <c r="S29" s="256"/>
      <c r="T29" s="256"/>
      <c r="U29" s="256"/>
    </row>
    <row r="30" spans="1:21" ht="18.75" x14ac:dyDescent="0.3">
      <c r="A30" s="724" t="s">
        <v>163</v>
      </c>
      <c r="B30" s="724"/>
      <c r="C30" s="724"/>
      <c r="D30" s="724"/>
      <c r="E30" s="724"/>
      <c r="F30" s="724"/>
      <c r="G30" s="724"/>
      <c r="H30" s="724"/>
      <c r="I30" s="724"/>
      <c r="J30" s="724"/>
      <c r="K30" s="724"/>
      <c r="L30" s="724"/>
      <c r="M30" s="724"/>
      <c r="N30" s="724"/>
      <c r="O30" s="256"/>
      <c r="P30" s="256"/>
      <c r="Q30" s="256"/>
      <c r="R30" s="256"/>
      <c r="S30" s="256"/>
      <c r="T30" s="256"/>
      <c r="U30" s="256"/>
    </row>
    <row r="31" spans="1:21" x14ac:dyDescent="0.3">
      <c r="A31" s="289" t="s">
        <v>164</v>
      </c>
      <c r="B31" s="290"/>
      <c r="C31" s="290"/>
      <c r="D31" s="290"/>
      <c r="E31" s="291"/>
      <c r="F31" s="292"/>
      <c r="G31" s="292"/>
      <c r="H31" s="292"/>
      <c r="I31" s="292"/>
      <c r="J31" s="292"/>
      <c r="K31" s="290"/>
      <c r="L31" s="290"/>
      <c r="M31" s="290"/>
      <c r="N31" s="293"/>
      <c r="O31" s="256"/>
      <c r="P31" s="256"/>
      <c r="Q31" s="256"/>
      <c r="R31" s="256"/>
      <c r="S31" s="256"/>
      <c r="T31" s="256"/>
      <c r="U31" s="256"/>
    </row>
    <row r="32" spans="1:21" x14ac:dyDescent="0.3">
      <c r="A32" s="294" t="s">
        <v>165</v>
      </c>
      <c r="B32" s="295" t="str">
        <f>IF(수종별재적표!D5="원목","수종(임상), 작업종, 지형 : "&amp;"해당없음","수종(임상), 작업종, 지형 : "&amp;기본자료!C9&amp;","&amp;기본자료!B9&amp;","&amp;기본자료!D9)</f>
        <v>수종(임상), 작업종, 지형 : 20-30cm,단목,중(15-30도이하)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6"/>
      <c r="O32" s="256"/>
      <c r="P32" s="256"/>
      <c r="Q32" s="256"/>
      <c r="R32" s="256"/>
      <c r="S32" s="256"/>
      <c r="T32" s="256"/>
      <c r="U32" s="256"/>
    </row>
    <row r="33" spans="1:21" x14ac:dyDescent="0.3">
      <c r="A33" s="294" t="s">
        <v>166</v>
      </c>
      <c r="B33" s="295" t="str">
        <f>IF(수종별재적표!D5="원목","본당 평균 재적 :"&amp;" 해당없음","본당 평균 재적 :"&amp;기본자료!F9 &amp;"㎥")</f>
        <v>본당 평균 재적 :무릎높이 이하 초본ㆍ관목㎥</v>
      </c>
      <c r="C33" s="295"/>
      <c r="D33" s="295"/>
      <c r="E33" s="295"/>
      <c r="F33" s="295"/>
      <c r="G33" s="295"/>
      <c r="H33" s="295"/>
      <c r="I33" s="295"/>
      <c r="J33" s="295"/>
      <c r="K33" s="295"/>
      <c r="L33" s="295" t="s">
        <v>167</v>
      </c>
      <c r="M33" s="295"/>
      <c r="N33" s="296"/>
      <c r="O33" s="256"/>
      <c r="P33" s="256"/>
      <c r="Q33" s="256"/>
      <c r="R33" s="256"/>
      <c r="S33" s="256"/>
      <c r="T33" s="256"/>
      <c r="U33" s="256"/>
    </row>
    <row r="34" spans="1:21" x14ac:dyDescent="0.3">
      <c r="A34" s="294" t="s">
        <v>168</v>
      </c>
      <c r="B34" s="295" t="str">
        <f>IF(수종별재적표!D5="원목","1인 1일 작업공정 :" &amp;" 해당없음","1인 1일 작업공정 :" &amp;기본자료!H9&amp;"㎥")</f>
        <v>1인 1일 작업공정 :20.17㎥</v>
      </c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6"/>
      <c r="O34" s="256"/>
      <c r="P34" s="256"/>
      <c r="Q34" s="256"/>
      <c r="R34" s="256"/>
      <c r="S34" s="256"/>
      <c r="T34" s="256"/>
      <c r="U34" s="256"/>
    </row>
    <row r="35" spans="1:21" x14ac:dyDescent="0.3">
      <c r="A35" s="297" t="s">
        <v>169</v>
      </c>
      <c r="B35" s="298"/>
      <c r="C35" s="298"/>
      <c r="D35" s="298"/>
      <c r="E35" s="298"/>
      <c r="F35" s="298"/>
      <c r="G35" s="298"/>
      <c r="H35" s="298"/>
      <c r="I35" s="291"/>
      <c r="J35" s="299"/>
      <c r="K35" s="299"/>
      <c r="L35" s="299"/>
      <c r="M35" s="299"/>
      <c r="N35" s="300"/>
      <c r="O35" s="256"/>
      <c r="P35" s="256"/>
      <c r="Q35" s="256"/>
      <c r="R35" s="256"/>
      <c r="S35" s="256"/>
      <c r="T35" s="256"/>
      <c r="U35" s="256"/>
    </row>
    <row r="36" spans="1:21" x14ac:dyDescent="0.3">
      <c r="A36" s="294" t="s">
        <v>165</v>
      </c>
      <c r="B36" s="295" t="str">
        <f>"작업종, 지형 : "&amp;기본자료!B21&amp;", "&amp;기본자료!D21</f>
        <v>작업종, 지형 : 해당없음, 쉬움(15도-30도)</v>
      </c>
      <c r="C36" s="295"/>
      <c r="D36" s="295"/>
      <c r="E36" s="301"/>
      <c r="F36" s="301"/>
      <c r="G36" s="301"/>
      <c r="H36" s="295"/>
      <c r="I36" s="295"/>
      <c r="J36" s="295"/>
      <c r="K36" s="295"/>
      <c r="L36" s="295"/>
      <c r="M36" s="295"/>
      <c r="N36" s="296"/>
      <c r="O36" s="256"/>
      <c r="P36" s="256"/>
      <c r="Q36" s="256"/>
      <c r="R36" s="256"/>
      <c r="S36" s="256"/>
      <c r="T36" s="256"/>
      <c r="U36" s="256"/>
    </row>
    <row r="37" spans="1:21" x14ac:dyDescent="0.3">
      <c r="A37" s="294" t="s">
        <v>166</v>
      </c>
      <c r="B37" s="295" t="str">
        <f>"ha당 원목 재적 : "&amp;기본자료!F21&amp; "㎥"&amp;",    "&amp;"평균거리 : "&amp;기본자료!G21&amp;"m"</f>
        <v>ha당 원목 재적 : ㎥,    평균거리 : m</v>
      </c>
      <c r="C37" s="295"/>
      <c r="D37" s="295"/>
      <c r="E37" s="295"/>
      <c r="F37" s="301"/>
      <c r="G37" s="301"/>
      <c r="H37" s="295"/>
      <c r="I37" s="295"/>
      <c r="J37" s="295"/>
      <c r="K37" s="295"/>
      <c r="L37" s="295"/>
      <c r="M37" s="295"/>
      <c r="N37" s="296"/>
      <c r="O37" s="256"/>
      <c r="P37" s="256"/>
      <c r="Q37" s="256"/>
      <c r="R37" s="256"/>
      <c r="S37" s="256"/>
      <c r="T37" s="256"/>
      <c r="U37" s="256"/>
    </row>
    <row r="38" spans="1:21" x14ac:dyDescent="0.3">
      <c r="A38" s="294" t="s">
        <v>168</v>
      </c>
      <c r="B38" s="295" t="str">
        <f>"1인 1일 작업공정 : "&amp; 기본자료!H21 &amp;"㎥"</f>
        <v>1인 1일 작업공정 : 0㎥</v>
      </c>
      <c r="C38" s="295"/>
      <c r="D38" s="295"/>
      <c r="E38" s="301"/>
      <c r="F38" s="301"/>
      <c r="G38" s="301"/>
      <c r="H38" s="295"/>
      <c r="I38" s="295"/>
      <c r="J38" s="295"/>
      <c r="K38" s="295"/>
      <c r="L38" s="295"/>
      <c r="M38" s="295"/>
      <c r="N38" s="296"/>
      <c r="O38" s="256"/>
      <c r="P38" s="256"/>
      <c r="Q38" s="256"/>
      <c r="R38" s="256"/>
      <c r="S38" s="256"/>
      <c r="T38" s="256"/>
      <c r="U38" s="256"/>
    </row>
    <row r="39" spans="1:21" x14ac:dyDescent="0.3">
      <c r="A39" s="294" t="s">
        <v>170</v>
      </c>
      <c r="B39" s="295" t="str">
        <f>IF(기본자료!B33="","","저나르기 1인 1일 연거리 : "&amp;기본자료!C33&amp;"km"&amp;"       1인1일 작업공정 : "&amp; 기본자료!G33&amp;"㎥")</f>
        <v/>
      </c>
      <c r="C39" s="295"/>
      <c r="D39" s="295"/>
      <c r="E39" s="301"/>
      <c r="F39" s="301"/>
      <c r="G39" s="301"/>
      <c r="H39" s="295"/>
      <c r="I39" s="295"/>
      <c r="J39" s="295"/>
      <c r="K39" s="295"/>
      <c r="L39" s="295"/>
      <c r="M39" s="295"/>
      <c r="N39" s="296"/>
      <c r="O39" s="256"/>
      <c r="P39" s="256"/>
      <c r="Q39" s="256"/>
      <c r="R39" s="256"/>
      <c r="S39" s="256"/>
      <c r="T39" s="256"/>
      <c r="U39" s="256"/>
    </row>
    <row r="40" spans="1:21" x14ac:dyDescent="0.3">
      <c r="A40" s="294" t="s">
        <v>171</v>
      </c>
      <c r="B40" s="295" t="s">
        <v>172</v>
      </c>
      <c r="C40" s="295"/>
      <c r="D40" s="295" t="str">
        <f>기본자료!B37&amp;" ("&amp;기본자료!B38&amp;"톤)    "&amp;"중토장 : ("&amp;기본자료!E38&amp;"톤)"</f>
        <v>중토장
운영여부
(Y,N) (N톤)    중토장 : (25톤)</v>
      </c>
      <c r="E40" s="301"/>
      <c r="F40" s="301"/>
      <c r="G40" s="301"/>
      <c r="H40" s="295"/>
      <c r="I40" s="295"/>
      <c r="J40" s="295"/>
      <c r="K40" s="295"/>
      <c r="L40" s="295"/>
      <c r="M40" s="295"/>
      <c r="N40" s="296"/>
      <c r="O40" s="256"/>
      <c r="P40" s="256"/>
      <c r="Q40" s="256"/>
      <c r="R40" s="256"/>
      <c r="S40" s="256"/>
      <c r="T40" s="256"/>
      <c r="U40" s="256"/>
    </row>
    <row r="41" spans="1:21" x14ac:dyDescent="0.3">
      <c r="A41" s="294"/>
      <c r="B41" s="295"/>
      <c r="C41" s="295"/>
      <c r="D41" s="295"/>
      <c r="E41" s="301"/>
      <c r="F41" s="301"/>
      <c r="G41" s="301"/>
      <c r="H41" s="295"/>
      <c r="I41" s="295"/>
      <c r="J41" s="295"/>
      <c r="K41" s="295"/>
      <c r="L41" s="295"/>
      <c r="M41" s="295"/>
      <c r="N41" s="296"/>
      <c r="O41" s="256"/>
      <c r="P41" s="256"/>
      <c r="Q41" s="256"/>
      <c r="R41" s="256"/>
      <c r="S41" s="256"/>
      <c r="T41" s="256"/>
      <c r="U41" s="256"/>
    </row>
    <row r="42" spans="1:21" x14ac:dyDescent="0.3">
      <c r="A42" s="297" t="s">
        <v>173</v>
      </c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302"/>
      <c r="O42" s="256"/>
      <c r="P42" s="256"/>
      <c r="Q42" s="256"/>
      <c r="R42" s="256"/>
      <c r="S42" s="256"/>
      <c r="T42" s="256"/>
      <c r="U42" s="256"/>
    </row>
    <row r="43" spans="1:21" x14ac:dyDescent="0.3">
      <c r="A43" s="635" t="s">
        <v>174</v>
      </c>
      <c r="B43" s="639"/>
      <c r="C43" s="639"/>
      <c r="D43" s="639"/>
      <c r="E43" s="639" t="s">
        <v>175</v>
      </c>
      <c r="F43" s="639"/>
      <c r="G43" s="639" t="s">
        <v>176</v>
      </c>
      <c r="H43" s="639"/>
      <c r="I43" s="184" t="s">
        <v>177</v>
      </c>
      <c r="J43" s="639" t="s">
        <v>178</v>
      </c>
      <c r="K43" s="639"/>
      <c r="L43" s="639"/>
      <c r="M43" s="639"/>
      <c r="N43" s="725"/>
      <c r="O43" s="256"/>
      <c r="P43" s="256"/>
      <c r="Q43" s="256"/>
      <c r="R43" s="256"/>
      <c r="S43" s="256"/>
      <c r="T43" s="256"/>
      <c r="U43" s="256"/>
    </row>
    <row r="44" spans="1:21" x14ac:dyDescent="0.3">
      <c r="A44" s="635"/>
      <c r="B44" s="639"/>
      <c r="C44" s="639"/>
      <c r="D44" s="639"/>
      <c r="E44" s="639"/>
      <c r="F44" s="639"/>
      <c r="G44" s="282" t="s">
        <v>179</v>
      </c>
      <c r="H44" s="282" t="s">
        <v>180</v>
      </c>
      <c r="I44" s="303" t="s">
        <v>181</v>
      </c>
      <c r="J44" s="639"/>
      <c r="K44" s="639"/>
      <c r="L44" s="639"/>
      <c r="M44" s="639"/>
      <c r="N44" s="725"/>
      <c r="O44" s="256"/>
      <c r="P44" s="256"/>
      <c r="Q44" s="256"/>
      <c r="R44" s="256"/>
      <c r="S44" s="256"/>
      <c r="T44" s="256"/>
      <c r="U44" s="256"/>
    </row>
    <row r="45" spans="1:21" x14ac:dyDescent="0.3">
      <c r="A45" s="726" t="s">
        <v>182</v>
      </c>
      <c r="B45" s="639" t="s">
        <v>183</v>
      </c>
      <c r="C45" s="639"/>
      <c r="D45" s="639"/>
      <c r="E45" s="639" t="s">
        <v>184</v>
      </c>
      <c r="F45" s="639"/>
      <c r="G45" s="282">
        <f>기본자료!H9</f>
        <v>20.170000000000002</v>
      </c>
      <c r="H45" s="283">
        <f>기본자료!E62</f>
        <v>200000</v>
      </c>
      <c r="I45" s="283">
        <f>IF(G45=0,"",ROUND(H45/G45+L45,0))</f>
        <v>10908</v>
      </c>
      <c r="J45" s="732" t="s">
        <v>185</v>
      </c>
      <c r="K45" s="733"/>
      <c r="L45" s="692">
        <f>ROUND(IF(ISERROR(H45/G45*기본자료!$I$10%),0,(H45/G45*기본자료!$I$10%)),0)</f>
        <v>992</v>
      </c>
      <c r="M45" s="693"/>
      <c r="N45" s="694"/>
      <c r="O45" s="256"/>
      <c r="P45" s="256"/>
      <c r="Q45" s="256"/>
      <c r="R45" s="256"/>
      <c r="S45" s="256"/>
      <c r="T45" s="256"/>
      <c r="U45" s="256"/>
    </row>
    <row r="46" spans="1:21" x14ac:dyDescent="0.3">
      <c r="A46" s="726"/>
      <c r="B46" s="730" t="s">
        <v>290</v>
      </c>
      <c r="C46" s="684"/>
      <c r="D46" s="685"/>
      <c r="E46" s="639" t="s">
        <v>186</v>
      </c>
      <c r="F46" s="639"/>
      <c r="G46" s="282">
        <f>G45</f>
        <v>20.170000000000002</v>
      </c>
      <c r="H46" s="304">
        <f>ROUND(기본자료!E76*0.0084,1)</f>
        <v>6720</v>
      </c>
      <c r="I46" s="283">
        <f>IF(G46=0,"",ROUND(H46/G46,0))</f>
        <v>333</v>
      </c>
      <c r="J46" s="695" t="str">
        <f>IF(I46="","","0.0084×"&amp;기본자료!E76)</f>
        <v>0.0084×800000</v>
      </c>
      <c r="K46" s="695"/>
      <c r="L46" s="695"/>
      <c r="M46" s="695"/>
      <c r="N46" s="696"/>
      <c r="O46" s="256"/>
      <c r="P46" s="256"/>
      <c r="Q46" s="256"/>
      <c r="R46" s="256"/>
      <c r="S46" s="256"/>
      <c r="T46" s="256"/>
      <c r="U46" s="256"/>
    </row>
    <row r="47" spans="1:21" x14ac:dyDescent="0.3">
      <c r="A47" s="726"/>
      <c r="B47" s="689"/>
      <c r="C47" s="690"/>
      <c r="D47" s="691"/>
      <c r="E47" s="639" t="s">
        <v>288</v>
      </c>
      <c r="F47" s="639"/>
      <c r="G47" s="411">
        <f>G46</f>
        <v>20.170000000000002</v>
      </c>
      <c r="H47" s="283">
        <f>ROUND(ROUND(기본자료!$F$76*기본자료!$G$76,1)+ROUND((ROUND(기본자료!$F$76*기본자료!$G$76,0)*Q47)/100,1),0)</f>
        <v>15409</v>
      </c>
      <c r="I47" s="283">
        <f>IF(G46=0,"",ROUND(O47+P47,0))</f>
        <v>764</v>
      </c>
      <c r="J47" s="695" t="str">
        <f>IF(I46="","","재료비:"&amp;O47&amp;"   잡품비:"&amp;P47)</f>
        <v>재료비:391.8   잡품비:372.2</v>
      </c>
      <c r="K47" s="695"/>
      <c r="L47" s="695"/>
      <c r="M47" s="695"/>
      <c r="N47" s="696"/>
      <c r="O47" s="309">
        <f>IF(ISERROR(ROUND((기본자료!$F$76*기본자료!$G$76)/G47,1)),"",ROUND((기본자료!$F$76*기본자료!$G$76)/G47,1))</f>
        <v>391.8</v>
      </c>
      <c r="P47" s="309">
        <f>IF(ISERROR(ROUND(O47*Q47/100,1)),"",ROUND(O47*Q47/100,1))</f>
        <v>372.2</v>
      </c>
      <c r="Q47" s="309">
        <v>95</v>
      </c>
      <c r="R47" s="256"/>
      <c r="S47" s="256"/>
      <c r="T47" s="256"/>
      <c r="U47" s="256"/>
    </row>
    <row r="48" spans="1:21" x14ac:dyDescent="0.3">
      <c r="A48" s="726"/>
      <c r="B48" s="639" t="s">
        <v>292</v>
      </c>
      <c r="C48" s="639"/>
      <c r="D48" s="639"/>
      <c r="E48" s="639"/>
      <c r="F48" s="639"/>
      <c r="G48" s="639"/>
      <c r="H48" s="639"/>
      <c r="I48" s="283">
        <f>SUM(I45:I47)</f>
        <v>12005</v>
      </c>
      <c r="J48" s="697"/>
      <c r="K48" s="698"/>
      <c r="L48" s="698"/>
      <c r="M48" s="698"/>
      <c r="N48" s="699"/>
      <c r="O48" s="488" t="s">
        <v>385</v>
      </c>
      <c r="P48" s="489" t="s">
        <v>386</v>
      </c>
      <c r="Q48" s="490" t="s">
        <v>387</v>
      </c>
      <c r="R48" s="256"/>
      <c r="S48" s="256"/>
      <c r="T48" s="256"/>
      <c r="U48" s="256"/>
    </row>
    <row r="49" spans="1:21" x14ac:dyDescent="0.3">
      <c r="A49" s="726"/>
      <c r="B49" s="697" t="s">
        <v>291</v>
      </c>
      <c r="C49" s="698"/>
      <c r="D49" s="731"/>
      <c r="E49" s="639" t="s">
        <v>289</v>
      </c>
      <c r="F49" s="639"/>
      <c r="G49" s="282" t="str">
        <f>IF(기본자료!D83="","",기본자료!D83)</f>
        <v/>
      </c>
      <c r="H49" s="283" t="str">
        <f>IF(G49="","",기본자료!C62)</f>
        <v/>
      </c>
      <c r="I49" s="283" t="str">
        <f>IF(G49="","",ROUND(H49/G49,0))</f>
        <v/>
      </c>
      <c r="J49" s="727" t="str">
        <f>IF(G49="","","박피율 = "&amp;ROUND(기본자료!F85/수종별재적표!H13*100,2)&amp;"%")</f>
        <v/>
      </c>
      <c r="K49" s="728"/>
      <c r="L49" s="728"/>
      <c r="M49" s="728"/>
      <c r="N49" s="729"/>
      <c r="O49" s="491">
        <f>수종별재적표!H13</f>
        <v>2311.4029999999998</v>
      </c>
      <c r="P49" s="492">
        <f>기본자료!F85</f>
        <v>0</v>
      </c>
      <c r="Q49" s="493">
        <f>IF(ISERROR(ROUND(P49/O49,3)),"",ROUND(P49/O49,3))</f>
        <v>0</v>
      </c>
      <c r="R49" s="256"/>
      <c r="S49" s="256"/>
      <c r="T49" s="256"/>
      <c r="U49" s="256"/>
    </row>
    <row r="50" spans="1:21" x14ac:dyDescent="0.3">
      <c r="A50" s="726"/>
      <c r="B50" s="639" t="s">
        <v>293</v>
      </c>
      <c r="C50" s="639"/>
      <c r="D50" s="639"/>
      <c r="E50" s="639"/>
      <c r="F50" s="639"/>
      <c r="G50" s="639"/>
      <c r="H50" s="639"/>
      <c r="I50" s="283">
        <f>SUM(I45,I46,I47,I49)</f>
        <v>12005</v>
      </c>
      <c r="J50" s="695"/>
      <c r="K50" s="695"/>
      <c r="L50" s="695"/>
      <c r="M50" s="695"/>
      <c r="N50" s="696"/>
      <c r="O50" s="256"/>
      <c r="P50" s="256"/>
      <c r="Q50" s="256"/>
      <c r="R50" s="256"/>
      <c r="S50" s="256"/>
      <c r="T50" s="256"/>
      <c r="U50" s="256"/>
    </row>
    <row r="51" spans="1:21" ht="16.5" customHeight="1" x14ac:dyDescent="0.3">
      <c r="A51" s="668" t="s">
        <v>187</v>
      </c>
      <c r="B51" s="683" t="s">
        <v>377</v>
      </c>
      <c r="C51" s="684"/>
      <c r="D51" s="685"/>
      <c r="E51" s="639" t="s">
        <v>378</v>
      </c>
      <c r="F51" s="639"/>
      <c r="G51" s="460">
        <f>기본자료!F15</f>
        <v>30.28</v>
      </c>
      <c r="H51" s="283">
        <f>기본자료!F62</f>
        <v>212637</v>
      </c>
      <c r="I51" s="461">
        <f>IF(G51=0,"",ROUND(H51/G51+L51,0))</f>
        <v>6671</v>
      </c>
      <c r="J51" s="485" t="s">
        <v>379</v>
      </c>
      <c r="K51" s="295"/>
      <c r="L51" s="692">
        <f>ROUND(IF(ISERROR(H51/G51*기본자료!$I$16%),0,(H51/G51*기본자료!$I$16%)),0)</f>
        <v>-351</v>
      </c>
      <c r="M51" s="693"/>
      <c r="N51" s="694"/>
      <c r="O51" s="256"/>
      <c r="P51" s="256"/>
      <c r="Q51" s="256"/>
      <c r="R51" s="256"/>
      <c r="S51" s="256"/>
      <c r="T51" s="256"/>
      <c r="U51" s="256"/>
    </row>
    <row r="52" spans="1:21" x14ac:dyDescent="0.3">
      <c r="A52" s="681"/>
      <c r="B52" s="686"/>
      <c r="C52" s="687"/>
      <c r="D52" s="688"/>
      <c r="E52" s="639" t="s">
        <v>380</v>
      </c>
      <c r="F52" s="639"/>
      <c r="G52" s="460">
        <f>G51</f>
        <v>30.28</v>
      </c>
      <c r="H52" s="304">
        <f>IF(ISERROR(ROUND(기본자료!E79*0.0015,1)),0,ROUND(기본자료!E79*0.0015,1))</f>
        <v>90000</v>
      </c>
      <c r="I52" s="283">
        <f>IF(G52=0,"",ROUND(H52/G52,0))</f>
        <v>2972</v>
      </c>
      <c r="J52" s="695" t="s">
        <v>381</v>
      </c>
      <c r="K52" s="695"/>
      <c r="L52" s="695"/>
      <c r="M52" s="695"/>
      <c r="N52" s="696"/>
      <c r="O52" s="307"/>
      <c r="P52" s="256"/>
      <c r="Q52" s="256"/>
      <c r="R52" s="256"/>
      <c r="S52" s="256"/>
      <c r="T52" s="256"/>
      <c r="U52" s="256"/>
    </row>
    <row r="53" spans="1:21" x14ac:dyDescent="0.3">
      <c r="A53" s="681"/>
      <c r="B53" s="689"/>
      <c r="C53" s="690"/>
      <c r="D53" s="691"/>
      <c r="E53" s="639" t="s">
        <v>382</v>
      </c>
      <c r="F53" s="639"/>
      <c r="G53" s="460">
        <f>G51</f>
        <v>30.28</v>
      </c>
      <c r="H53" s="283">
        <f>IF(ISERROR(ROUND(ROUND(기본자료!$F$79*기본자료!$G$79,1)+ROUND((ROUND(기본자료!$F$79*기본자료!$G$79,0)*Q53)/100,1),0)),0,ROUND(ROUND(기본자료!$F$79*기본자료!$G$79,1)+ROUND((ROUND(기본자료!$F$79*기본자료!$G$79,0)*Q53)/100,1),0))</f>
        <v>59532</v>
      </c>
      <c r="I53" s="283">
        <f>IF(G53=0,"",ROUND(H53/G53,0))</f>
        <v>1966</v>
      </c>
      <c r="J53" s="695" t="str">
        <f>IF(I52="","","재료비:"&amp;O53&amp;"   잡품비:"&amp;P53)</f>
        <v>재료비:1624.8   잡품비:341.2</v>
      </c>
      <c r="K53" s="695"/>
      <c r="L53" s="695"/>
      <c r="M53" s="695"/>
      <c r="N53" s="696"/>
      <c r="O53" s="486">
        <f>IF(ISERROR(ROUND((기본자료!$F$79*기본자료!$G$79)/G53,1)),"",ROUND((기본자료!$F$79*기본자료!$G$79)/G53,1))</f>
        <v>1624.8</v>
      </c>
      <c r="P53" s="487">
        <f>IF(ISERROR(ROUND(O53*Q53/100,1)),"",ROUND(O53*Q53/100,1))</f>
        <v>341.2</v>
      </c>
      <c r="Q53" s="487">
        <v>21</v>
      </c>
      <c r="R53" s="256"/>
      <c r="S53" s="256"/>
      <c r="T53" s="256"/>
      <c r="U53" s="256"/>
    </row>
    <row r="54" spans="1:21" x14ac:dyDescent="0.3">
      <c r="A54" s="681"/>
      <c r="B54" s="639" t="s">
        <v>383</v>
      </c>
      <c r="C54" s="639"/>
      <c r="D54" s="639"/>
      <c r="E54" s="639"/>
      <c r="F54" s="639"/>
      <c r="G54" s="639"/>
      <c r="H54" s="639"/>
      <c r="I54" s="283">
        <f>SUM(I51:I53)</f>
        <v>11609</v>
      </c>
      <c r="J54" s="697"/>
      <c r="K54" s="698"/>
      <c r="L54" s="698"/>
      <c r="M54" s="698"/>
      <c r="N54" s="699"/>
      <c r="O54" s="256"/>
      <c r="P54" s="256"/>
      <c r="Q54" s="256"/>
      <c r="R54" s="256"/>
      <c r="S54" s="256"/>
      <c r="T54" s="256"/>
      <c r="U54" s="256"/>
    </row>
    <row r="55" spans="1:21" ht="16.5" customHeight="1" x14ac:dyDescent="0.3">
      <c r="A55" s="681"/>
      <c r="B55" s="584" t="s">
        <v>188</v>
      </c>
      <c r="C55" s="584"/>
      <c r="D55" s="584"/>
      <c r="E55" s="584" t="s">
        <v>189</v>
      </c>
      <c r="F55" s="584"/>
      <c r="G55" s="146">
        <f>기본자료!H21</f>
        <v>0</v>
      </c>
      <c r="H55" s="500">
        <f>기본자료!C62</f>
        <v>141096</v>
      </c>
      <c r="I55" s="401" t="str">
        <f>IF(G55=0,"",ROUND(H55/G55,0))</f>
        <v/>
      </c>
      <c r="J55" s="700" t="s">
        <v>384</v>
      </c>
      <c r="K55" s="701"/>
      <c r="L55" s="701"/>
      <c r="M55" s="701"/>
      <c r="N55" s="702"/>
      <c r="O55" s="256"/>
      <c r="P55" s="256"/>
      <c r="Q55" s="256"/>
      <c r="R55" s="256"/>
      <c r="S55" s="256"/>
      <c r="T55" s="256"/>
      <c r="U55" s="256"/>
    </row>
    <row r="56" spans="1:21" x14ac:dyDescent="0.3">
      <c r="A56" s="681"/>
      <c r="B56" s="584" t="s">
        <v>190</v>
      </c>
      <c r="C56" s="584"/>
      <c r="D56" s="584"/>
      <c r="E56" s="734" t="s">
        <v>74</v>
      </c>
      <c r="F56" s="584"/>
      <c r="G56" s="385">
        <f>기본자료!H27</f>
        <v>0</v>
      </c>
      <c r="H56" s="283">
        <f>기본자료!D62</f>
        <v>179203</v>
      </c>
      <c r="I56" s="401" t="str">
        <f>IF(G56=0,"",ROUND(H56/G56+M56,0))</f>
        <v/>
      </c>
      <c r="J56" s="700" t="s">
        <v>191</v>
      </c>
      <c r="K56" s="701"/>
      <c r="L56" s="701"/>
      <c r="M56" s="735">
        <f>ROUND(IF(ISERROR(H56/G56*기본자료!I28%),0,(H56/G56*기본자료!I28%)),0)</f>
        <v>0</v>
      </c>
      <c r="N56" s="736"/>
      <c r="O56" s="256"/>
      <c r="P56" s="256"/>
      <c r="Q56" s="256"/>
      <c r="R56" s="256"/>
      <c r="S56" s="256"/>
      <c r="T56" s="256"/>
      <c r="U56" s="256"/>
    </row>
    <row r="57" spans="1:21" x14ac:dyDescent="0.3">
      <c r="A57" s="681"/>
      <c r="B57" s="584" t="s">
        <v>192</v>
      </c>
      <c r="C57" s="584"/>
      <c r="D57" s="584"/>
      <c r="E57" s="734" t="s">
        <v>74</v>
      </c>
      <c r="F57" s="584"/>
      <c r="G57" s="420">
        <f>기본자료!G33</f>
        <v>0</v>
      </c>
      <c r="H57" s="286">
        <f>기본자료!C62</f>
        <v>141096</v>
      </c>
      <c r="I57" s="401" t="str">
        <f>IF(G57=0,"",ROUND(H57/G57,0))</f>
        <v/>
      </c>
      <c r="J57" s="700" t="s">
        <v>193</v>
      </c>
      <c r="K57" s="701"/>
      <c r="L57" s="701"/>
      <c r="M57" s="701"/>
      <c r="N57" s="702"/>
      <c r="O57" s="256"/>
      <c r="P57" s="256"/>
      <c r="Q57" s="256"/>
      <c r="R57" s="256"/>
      <c r="S57" s="256"/>
      <c r="T57" s="256"/>
      <c r="U57" s="256"/>
    </row>
    <row r="58" spans="1:21" x14ac:dyDescent="0.3">
      <c r="A58" s="682"/>
      <c r="B58" s="755"/>
      <c r="C58" s="756"/>
      <c r="D58" s="756"/>
      <c r="E58" s="756"/>
      <c r="F58" s="756"/>
      <c r="G58" s="756"/>
      <c r="H58" s="756"/>
      <c r="I58" s="756"/>
      <c r="J58" s="756"/>
      <c r="K58" s="756"/>
      <c r="L58" s="756"/>
      <c r="M58" s="756"/>
      <c r="N58" s="757"/>
      <c r="O58" s="256"/>
      <c r="P58" s="256"/>
      <c r="Q58" s="256"/>
      <c r="R58" s="256"/>
      <c r="S58" s="256"/>
      <c r="T58" s="256"/>
      <c r="U58" s="256"/>
    </row>
    <row r="59" spans="1:21" x14ac:dyDescent="0.3">
      <c r="A59" s="668" t="s">
        <v>194</v>
      </c>
      <c r="B59" s="584" t="s">
        <v>195</v>
      </c>
      <c r="C59" s="584"/>
      <c r="D59" s="584"/>
      <c r="E59" s="584" t="str">
        <f t="shared" ref="E59:E78" si="4">IF(A7="","",A7)</f>
        <v>강원지방소나무</v>
      </c>
      <c r="F59" s="584"/>
      <c r="G59" s="146"/>
      <c r="H59" s="286"/>
      <c r="I59" s="286">
        <f>IF(E59="","",VLOOKUP(J59,운반비산출!$J$9:$M$34,MATCH(O59,운반비산출!$K$9:$M$9)+1,FALSE))</f>
        <v>18800</v>
      </c>
      <c r="J59" s="308" t="str">
        <f t="shared" ref="J59:J78" si="5">IF(F7="","",F7)</f>
        <v>포천시</v>
      </c>
      <c r="K59" s="703">
        <f t="shared" ref="K59:K78" si="6">IF(O7="","",O7)</f>
        <v>5000</v>
      </c>
      <c r="L59" s="704"/>
      <c r="M59" s="705">
        <f t="shared" ref="M59:M78" si="7">IF(A7="","",J7-$E$95)</f>
        <v>0</v>
      </c>
      <c r="N59" s="706"/>
      <c r="O59" s="309" t="str">
        <f>IF(E59="","",VLOOKUP(E59,수종별재적표!$B$14:$C$33,2,FALSE))</f>
        <v>침엽수</v>
      </c>
      <c r="P59" s="256"/>
      <c r="Q59" s="256"/>
      <c r="R59" s="256"/>
      <c r="S59" s="256"/>
      <c r="T59" s="256"/>
      <c r="U59" s="256"/>
    </row>
    <row r="60" spans="1:21" x14ac:dyDescent="0.3">
      <c r="A60" s="669"/>
      <c r="B60" s="584" t="s">
        <v>196</v>
      </c>
      <c r="C60" s="584"/>
      <c r="D60" s="584"/>
      <c r="E60" s="584" t="str">
        <f t="shared" si="4"/>
        <v>강원지방소나무</v>
      </c>
      <c r="F60" s="584"/>
      <c r="G60" s="146"/>
      <c r="H60" s="286"/>
      <c r="I60" s="497">
        <f>IF(E60="","",VLOOKUP(J60,운반비산출!$J$9:$M$34,MATCH(O60,운반비산출!$K$9:$M$9)+1,FALSE))</f>
        <v>23500</v>
      </c>
      <c r="J60" s="308" t="str">
        <f t="shared" si="5"/>
        <v>순천시</v>
      </c>
      <c r="K60" s="703">
        <f t="shared" si="6"/>
        <v>5000</v>
      </c>
      <c r="L60" s="704"/>
      <c r="M60" s="705">
        <f t="shared" si="7"/>
        <v>0</v>
      </c>
      <c r="N60" s="706"/>
      <c r="O60" s="309" t="str">
        <f>IF(E60="","",VLOOKUP(E60,수종별재적표!$B$14:$C$33,2,FALSE))</f>
        <v>침엽수</v>
      </c>
      <c r="P60" s="256"/>
      <c r="Q60" s="256"/>
      <c r="R60" s="256"/>
      <c r="S60" s="256"/>
      <c r="T60" s="256"/>
      <c r="U60" s="256"/>
    </row>
    <row r="61" spans="1:21" x14ac:dyDescent="0.3">
      <c r="A61" s="669"/>
      <c r="B61" s="584" t="s">
        <v>196</v>
      </c>
      <c r="C61" s="584"/>
      <c r="D61" s="584"/>
      <c r="E61" s="584" t="str">
        <f t="shared" si="4"/>
        <v>강원지방소나무</v>
      </c>
      <c r="F61" s="584"/>
      <c r="G61" s="146"/>
      <c r="H61" s="286"/>
      <c r="I61" s="497">
        <f>IF(E61="","",VLOOKUP(J61,운반비산출!$J$9:$M$34,MATCH(O61,운반비산출!$K$9:$M$9)+1,FALSE))</f>
        <v>17300</v>
      </c>
      <c r="J61" s="308" t="str">
        <f t="shared" si="5"/>
        <v>영주시</v>
      </c>
      <c r="K61" s="703">
        <f t="shared" si="6"/>
        <v>5000</v>
      </c>
      <c r="L61" s="704"/>
      <c r="M61" s="705">
        <f t="shared" si="7"/>
        <v>0</v>
      </c>
      <c r="N61" s="706"/>
      <c r="O61" s="309" t="str">
        <f>IF(E61="","",VLOOKUP(E61,수종별재적표!$B$14:$C$33,2,FALSE))</f>
        <v>침엽수</v>
      </c>
      <c r="P61" s="256"/>
      <c r="Q61" s="256"/>
      <c r="R61" s="256"/>
      <c r="S61" s="256"/>
      <c r="T61" s="256"/>
      <c r="U61" s="256"/>
    </row>
    <row r="62" spans="1:21" x14ac:dyDescent="0.3">
      <c r="A62" s="669"/>
      <c r="B62" s="584" t="s">
        <v>196</v>
      </c>
      <c r="C62" s="584"/>
      <c r="D62" s="584"/>
      <c r="E62" s="584" t="str">
        <f t="shared" si="4"/>
        <v>강원지방소나무 산업</v>
      </c>
      <c r="F62" s="584"/>
      <c r="G62" s="146"/>
      <c r="H62" s="286"/>
      <c r="I62" s="497">
        <f>IF(E62="","",VLOOKUP(J62,운반비산출!$J$9:$M$34,MATCH(O62,운반비산출!$K$9:$M$9)+1,FALSE))</f>
        <v>11100</v>
      </c>
      <c r="J62" s="308" t="str">
        <f t="shared" si="5"/>
        <v>강릉시</v>
      </c>
      <c r="K62" s="703">
        <f t="shared" si="6"/>
        <v>5000</v>
      </c>
      <c r="L62" s="704"/>
      <c r="M62" s="705">
        <f t="shared" si="7"/>
        <v>0</v>
      </c>
      <c r="N62" s="706"/>
      <c r="O62" s="309" t="str">
        <f>IF(E62="","",VLOOKUP(E62,수종별재적표!$B$14:$C$33,2,FALSE))</f>
        <v>침엽수</v>
      </c>
      <c r="P62" s="256"/>
      <c r="Q62" s="256"/>
      <c r="R62" s="256"/>
      <c r="S62" s="256"/>
      <c r="T62" s="256"/>
      <c r="U62" s="256"/>
    </row>
    <row r="63" spans="1:21" x14ac:dyDescent="0.3">
      <c r="A63" s="669"/>
      <c r="B63" s="584" t="s">
        <v>196</v>
      </c>
      <c r="C63" s="584"/>
      <c r="D63" s="584"/>
      <c r="E63" s="584" t="str">
        <f t="shared" si="4"/>
        <v>낙엽송</v>
      </c>
      <c r="F63" s="584"/>
      <c r="G63" s="146"/>
      <c r="H63" s="286"/>
      <c r="I63" s="497">
        <f>IF(E63="","",VLOOKUP(J63,운반비산출!$J$9:$M$34,MATCH(O63,운반비산출!$K$9:$M$9)+1,FALSE))</f>
        <v>11100</v>
      </c>
      <c r="J63" s="308" t="str">
        <f t="shared" si="5"/>
        <v>삼척시</v>
      </c>
      <c r="K63" s="703">
        <f t="shared" si="6"/>
        <v>5000</v>
      </c>
      <c r="L63" s="704"/>
      <c r="M63" s="705">
        <f t="shared" si="7"/>
        <v>0</v>
      </c>
      <c r="N63" s="706"/>
      <c r="O63" s="309" t="str">
        <f>IF(E63="","",VLOOKUP(E63,수종별재적표!$B$14:$C$33,2,FALSE))</f>
        <v>침엽수</v>
      </c>
      <c r="P63" s="256"/>
      <c r="Q63" s="256"/>
      <c r="R63" s="256"/>
      <c r="S63" s="256"/>
      <c r="T63" s="256"/>
      <c r="U63" s="256"/>
    </row>
    <row r="64" spans="1:21" x14ac:dyDescent="0.3">
      <c r="A64" s="669"/>
      <c r="B64" s="584" t="s">
        <v>196</v>
      </c>
      <c r="C64" s="584"/>
      <c r="D64" s="584"/>
      <c r="E64" s="584" t="str">
        <f t="shared" si="4"/>
        <v>낙엽송 산업</v>
      </c>
      <c r="F64" s="584"/>
      <c r="G64" s="146"/>
      <c r="H64" s="286"/>
      <c r="I64" s="497">
        <f>IF(E64="","",VLOOKUP(J64,운반비산출!$J$9:$M$34,MATCH(O64,운반비산출!$K$9:$M$9)+1,FALSE))</f>
        <v>11100</v>
      </c>
      <c r="J64" s="308" t="str">
        <f t="shared" si="5"/>
        <v>강릉시</v>
      </c>
      <c r="K64" s="703">
        <f t="shared" si="6"/>
        <v>5000</v>
      </c>
      <c r="L64" s="704"/>
      <c r="M64" s="705">
        <f t="shared" si="7"/>
        <v>0</v>
      </c>
      <c r="N64" s="706"/>
      <c r="O64" s="309" t="str">
        <f>IF(E64="","",VLOOKUP(E64,수종별재적표!$B$14:$C$33,2,FALSE))</f>
        <v>침엽수</v>
      </c>
      <c r="P64" s="256"/>
      <c r="Q64" s="256"/>
      <c r="R64" s="256"/>
      <c r="S64" s="256"/>
      <c r="T64" s="256"/>
      <c r="U64" s="256"/>
    </row>
    <row r="65" spans="1:21" x14ac:dyDescent="0.3">
      <c r="A65" s="669"/>
      <c r="B65" s="584" t="s">
        <v>196</v>
      </c>
      <c r="C65" s="584"/>
      <c r="D65" s="584"/>
      <c r="E65" s="584" t="str">
        <f t="shared" si="4"/>
        <v>기타활엽수 산업</v>
      </c>
      <c r="F65" s="584"/>
      <c r="G65" s="146"/>
      <c r="H65" s="286"/>
      <c r="I65" s="497">
        <f>IF(E65="","",VLOOKUP(J65,운반비산출!$J$9:$M$34,MATCH(O65,운반비산출!$K$9:$M$9)+1,FALSE))</f>
        <v>13700</v>
      </c>
      <c r="J65" s="308" t="str">
        <f t="shared" si="5"/>
        <v>강릉시</v>
      </c>
      <c r="K65" s="703">
        <f t="shared" si="6"/>
        <v>5000</v>
      </c>
      <c r="L65" s="704"/>
      <c r="M65" s="705">
        <f t="shared" si="7"/>
        <v>0</v>
      </c>
      <c r="N65" s="706"/>
      <c r="O65" s="309" t="str">
        <f>IF(E65="","",VLOOKUP(E65,수종별재적표!$B$14:$C$33,2,FALSE))</f>
        <v>활엽수</v>
      </c>
      <c r="P65" s="256"/>
      <c r="Q65" s="256"/>
      <c r="R65" s="256"/>
      <c r="S65" s="256"/>
      <c r="T65" s="256"/>
      <c r="U65" s="256"/>
    </row>
    <row r="66" spans="1:21" x14ac:dyDescent="0.3">
      <c r="A66" s="669"/>
      <c r="B66" s="584" t="s">
        <v>196</v>
      </c>
      <c r="C66" s="584"/>
      <c r="D66" s="584"/>
      <c r="E66" s="584" t="str">
        <f t="shared" si="4"/>
        <v/>
      </c>
      <c r="F66" s="584"/>
      <c r="G66" s="146"/>
      <c r="H66" s="286"/>
      <c r="I66" s="497" t="str">
        <f>IF(E66="","",VLOOKUP(J66,운반비산출!$J$9:$M$34,MATCH(O66,운반비산출!$K$9:$M$9)+1,FALSE))</f>
        <v/>
      </c>
      <c r="J66" s="308" t="str">
        <f t="shared" si="5"/>
        <v/>
      </c>
      <c r="K66" s="703" t="str">
        <f t="shared" si="6"/>
        <v/>
      </c>
      <c r="L66" s="704"/>
      <c r="M66" s="705" t="str">
        <f t="shared" si="7"/>
        <v/>
      </c>
      <c r="N66" s="706"/>
      <c r="O66" s="309" t="str">
        <f>IF(E66="","",VLOOKUP(E66,수종별재적표!$B$14:$C$33,2,FALSE))</f>
        <v/>
      </c>
      <c r="P66" s="256"/>
      <c r="Q66" s="256"/>
      <c r="R66" s="256"/>
      <c r="S66" s="256"/>
      <c r="T66" s="256"/>
      <c r="U66" s="256"/>
    </row>
    <row r="67" spans="1:21" x14ac:dyDescent="0.3">
      <c r="A67" s="669"/>
      <c r="B67" s="584" t="s">
        <v>196</v>
      </c>
      <c r="C67" s="584"/>
      <c r="D67" s="584"/>
      <c r="E67" s="584" t="str">
        <f t="shared" si="4"/>
        <v/>
      </c>
      <c r="F67" s="584"/>
      <c r="G67" s="146"/>
      <c r="H67" s="286"/>
      <c r="I67" s="497" t="str">
        <f>IF(E67="","",VLOOKUP(J67,운반비산출!$J$9:$M$34,MATCH(O67,운반비산출!$K$9:$M$9)+1,FALSE))</f>
        <v/>
      </c>
      <c r="J67" s="308" t="str">
        <f t="shared" si="5"/>
        <v/>
      </c>
      <c r="K67" s="703" t="str">
        <f t="shared" si="6"/>
        <v/>
      </c>
      <c r="L67" s="704"/>
      <c r="M67" s="705" t="str">
        <f t="shared" si="7"/>
        <v/>
      </c>
      <c r="N67" s="706"/>
      <c r="O67" s="309" t="str">
        <f>IF(E67="","",VLOOKUP(E67,수종별재적표!$B$14:$C$33,2,FALSE))</f>
        <v/>
      </c>
      <c r="P67" s="256"/>
      <c r="Q67" s="256"/>
      <c r="R67" s="256"/>
      <c r="S67" s="256"/>
      <c r="T67" s="256"/>
      <c r="U67" s="256"/>
    </row>
    <row r="68" spans="1:21" x14ac:dyDescent="0.3">
      <c r="A68" s="669"/>
      <c r="B68" s="584" t="s">
        <v>196</v>
      </c>
      <c r="C68" s="584"/>
      <c r="D68" s="584"/>
      <c r="E68" s="584" t="str">
        <f t="shared" si="4"/>
        <v/>
      </c>
      <c r="F68" s="584"/>
      <c r="G68" s="146"/>
      <c r="H68" s="286"/>
      <c r="I68" s="497" t="str">
        <f>IF(E68="","",VLOOKUP(J68,운반비산출!$J$9:$M$34,MATCH(O68,운반비산출!$K$9:$M$9)+1,FALSE))</f>
        <v/>
      </c>
      <c r="J68" s="308" t="str">
        <f t="shared" si="5"/>
        <v/>
      </c>
      <c r="K68" s="703" t="str">
        <f t="shared" si="6"/>
        <v/>
      </c>
      <c r="L68" s="704"/>
      <c r="M68" s="705" t="str">
        <f t="shared" si="7"/>
        <v/>
      </c>
      <c r="N68" s="706"/>
      <c r="O68" s="309" t="str">
        <f>IF(E68="","",VLOOKUP(E68,수종별재적표!$B$14:$C$33,2,FALSE))</f>
        <v/>
      </c>
      <c r="P68" s="256"/>
      <c r="Q68" s="256"/>
      <c r="R68" s="256"/>
      <c r="S68" s="256"/>
      <c r="T68" s="256"/>
      <c r="U68" s="256"/>
    </row>
    <row r="69" spans="1:21" x14ac:dyDescent="0.3">
      <c r="A69" s="669"/>
      <c r="B69" s="584" t="s">
        <v>196</v>
      </c>
      <c r="C69" s="584"/>
      <c r="D69" s="584"/>
      <c r="E69" s="584" t="str">
        <f t="shared" si="4"/>
        <v/>
      </c>
      <c r="F69" s="584"/>
      <c r="G69" s="146"/>
      <c r="H69" s="286"/>
      <c r="I69" s="497" t="str">
        <f>IF(E69="","",VLOOKUP(J69,운반비산출!$J$9:$M$34,MATCH(O69,운반비산출!$K$9:$M$9)+1,FALSE))</f>
        <v/>
      </c>
      <c r="J69" s="308" t="str">
        <f t="shared" si="5"/>
        <v/>
      </c>
      <c r="K69" s="703" t="str">
        <f t="shared" si="6"/>
        <v/>
      </c>
      <c r="L69" s="704"/>
      <c r="M69" s="705" t="str">
        <f t="shared" si="7"/>
        <v/>
      </c>
      <c r="N69" s="706"/>
      <c r="O69" s="309" t="str">
        <f>IF(E69="","",VLOOKUP(E69,수종별재적표!$B$14:$C$33,2,FALSE))</f>
        <v/>
      </c>
      <c r="P69" s="256"/>
      <c r="Q69" s="256"/>
      <c r="R69" s="256"/>
      <c r="S69" s="256"/>
      <c r="T69" s="256"/>
      <c r="U69" s="256"/>
    </row>
    <row r="70" spans="1:21" x14ac:dyDescent="0.3">
      <c r="A70" s="669"/>
      <c r="B70" s="584" t="s">
        <v>196</v>
      </c>
      <c r="C70" s="584"/>
      <c r="D70" s="584"/>
      <c r="E70" s="584" t="str">
        <f t="shared" si="4"/>
        <v/>
      </c>
      <c r="F70" s="584"/>
      <c r="G70" s="146"/>
      <c r="H70" s="286"/>
      <c r="I70" s="497" t="str">
        <f>IF(E70="","",VLOOKUP(J70,운반비산출!$J$9:$M$34,MATCH(O70,운반비산출!$K$9:$M$9)+1,FALSE))</f>
        <v/>
      </c>
      <c r="J70" s="308" t="str">
        <f t="shared" si="5"/>
        <v/>
      </c>
      <c r="K70" s="703" t="str">
        <f t="shared" si="6"/>
        <v/>
      </c>
      <c r="L70" s="704"/>
      <c r="M70" s="705" t="str">
        <f t="shared" si="7"/>
        <v/>
      </c>
      <c r="N70" s="706"/>
      <c r="O70" s="309" t="str">
        <f>IF(E70="","",VLOOKUP(E70,수종별재적표!$B$14:$C$33,2,FALSE))</f>
        <v/>
      </c>
      <c r="P70" s="256"/>
      <c r="Q70" s="256"/>
      <c r="R70" s="256"/>
      <c r="S70" s="256"/>
      <c r="T70" s="256"/>
      <c r="U70" s="256"/>
    </row>
    <row r="71" spans="1:21" x14ac:dyDescent="0.3">
      <c r="A71" s="669"/>
      <c r="B71" s="584" t="s">
        <v>196</v>
      </c>
      <c r="C71" s="584"/>
      <c r="D71" s="584"/>
      <c r="E71" s="584" t="str">
        <f t="shared" si="4"/>
        <v/>
      </c>
      <c r="F71" s="584"/>
      <c r="G71" s="146"/>
      <c r="H71" s="286"/>
      <c r="I71" s="497" t="str">
        <f>IF(E71="","",VLOOKUP(J71,운반비산출!$J$9:$M$34,MATCH(O71,운반비산출!$K$9:$M$9)+1,FALSE))</f>
        <v/>
      </c>
      <c r="J71" s="308" t="str">
        <f t="shared" si="5"/>
        <v/>
      </c>
      <c r="K71" s="703" t="str">
        <f t="shared" si="6"/>
        <v/>
      </c>
      <c r="L71" s="704"/>
      <c r="M71" s="705" t="str">
        <f t="shared" si="7"/>
        <v/>
      </c>
      <c r="N71" s="706"/>
      <c r="O71" s="309" t="str">
        <f>IF(E71="","",VLOOKUP(E71,수종별재적표!$B$14:$C$33,2,FALSE))</f>
        <v/>
      </c>
      <c r="P71" s="256"/>
      <c r="Q71" s="256"/>
      <c r="R71" s="256"/>
      <c r="S71" s="256"/>
      <c r="T71" s="256"/>
      <c r="U71" s="256"/>
    </row>
    <row r="72" spans="1:21" x14ac:dyDescent="0.3">
      <c r="A72" s="669"/>
      <c r="B72" s="584" t="s">
        <v>196</v>
      </c>
      <c r="C72" s="584"/>
      <c r="D72" s="584"/>
      <c r="E72" s="584" t="str">
        <f t="shared" si="4"/>
        <v/>
      </c>
      <c r="F72" s="584"/>
      <c r="G72" s="146"/>
      <c r="H72" s="286"/>
      <c r="I72" s="497" t="str">
        <f>IF(E72="","",VLOOKUP(J72,운반비산출!$J$9:$M$34,MATCH(O72,운반비산출!$K$9:$M$9)+1,FALSE))</f>
        <v/>
      </c>
      <c r="J72" s="308" t="str">
        <f t="shared" si="5"/>
        <v/>
      </c>
      <c r="K72" s="703" t="str">
        <f t="shared" si="6"/>
        <v/>
      </c>
      <c r="L72" s="704"/>
      <c r="M72" s="705" t="str">
        <f t="shared" si="7"/>
        <v/>
      </c>
      <c r="N72" s="706"/>
      <c r="O72" s="309" t="str">
        <f>IF(E72="","",VLOOKUP(E72,수종별재적표!$B$14:$C$33,2,FALSE))</f>
        <v/>
      </c>
      <c r="P72" s="256"/>
      <c r="Q72" s="256"/>
      <c r="R72" s="256"/>
      <c r="S72" s="256"/>
      <c r="T72" s="256"/>
      <c r="U72" s="256"/>
    </row>
    <row r="73" spans="1:21" x14ac:dyDescent="0.3">
      <c r="A73" s="669"/>
      <c r="B73" s="584" t="s">
        <v>196</v>
      </c>
      <c r="C73" s="584"/>
      <c r="D73" s="584"/>
      <c r="E73" s="584" t="str">
        <f t="shared" si="4"/>
        <v/>
      </c>
      <c r="F73" s="584"/>
      <c r="G73" s="146"/>
      <c r="H73" s="286"/>
      <c r="I73" s="497" t="str">
        <f>IF(E73="","",VLOOKUP(J73,운반비산출!$J$9:$M$34,MATCH(O73,운반비산출!$K$9:$M$9)+1,FALSE))</f>
        <v/>
      </c>
      <c r="J73" s="308" t="str">
        <f t="shared" si="5"/>
        <v/>
      </c>
      <c r="K73" s="703" t="str">
        <f t="shared" si="6"/>
        <v/>
      </c>
      <c r="L73" s="704"/>
      <c r="M73" s="705" t="str">
        <f t="shared" si="7"/>
        <v/>
      </c>
      <c r="N73" s="706"/>
      <c r="O73" s="309" t="str">
        <f>IF(E73="","",VLOOKUP(E73,수종별재적표!$B$14:$C$33,2,FALSE))</f>
        <v/>
      </c>
      <c r="P73" s="256"/>
      <c r="Q73" s="256"/>
      <c r="R73" s="256"/>
      <c r="S73" s="256"/>
      <c r="T73" s="256"/>
      <c r="U73" s="256"/>
    </row>
    <row r="74" spans="1:21" x14ac:dyDescent="0.3">
      <c r="A74" s="669"/>
      <c r="B74" s="584" t="s">
        <v>196</v>
      </c>
      <c r="C74" s="584"/>
      <c r="D74" s="584"/>
      <c r="E74" s="584" t="str">
        <f t="shared" si="4"/>
        <v/>
      </c>
      <c r="F74" s="584"/>
      <c r="G74" s="146"/>
      <c r="H74" s="286"/>
      <c r="I74" s="497" t="str">
        <f>IF(E74="","",VLOOKUP(J74,운반비산출!$J$9:$M$34,MATCH(O74,운반비산출!$K$9:$M$9)+1,FALSE))</f>
        <v/>
      </c>
      <c r="J74" s="308" t="str">
        <f t="shared" si="5"/>
        <v/>
      </c>
      <c r="K74" s="703" t="str">
        <f t="shared" si="6"/>
        <v/>
      </c>
      <c r="L74" s="704"/>
      <c r="M74" s="705" t="str">
        <f t="shared" si="7"/>
        <v/>
      </c>
      <c r="N74" s="706"/>
      <c r="O74" s="309" t="str">
        <f>IF(E74="","",VLOOKUP(E74,수종별재적표!$B$14:$C$33,2,FALSE))</f>
        <v/>
      </c>
      <c r="P74" s="256"/>
      <c r="Q74" s="256"/>
      <c r="R74" s="256"/>
      <c r="S74" s="256"/>
      <c r="T74" s="256"/>
      <c r="U74" s="256"/>
    </row>
    <row r="75" spans="1:21" x14ac:dyDescent="0.3">
      <c r="A75" s="669"/>
      <c r="B75" s="584" t="s">
        <v>196</v>
      </c>
      <c r="C75" s="584"/>
      <c r="D75" s="584"/>
      <c r="E75" s="584" t="str">
        <f t="shared" si="4"/>
        <v/>
      </c>
      <c r="F75" s="584"/>
      <c r="G75" s="146"/>
      <c r="H75" s="286"/>
      <c r="I75" s="497" t="str">
        <f>IF(E75="","",VLOOKUP(J75,운반비산출!$J$9:$M$34,MATCH(O75,운반비산출!$K$9:$M$9)+1,FALSE))</f>
        <v/>
      </c>
      <c r="J75" s="308" t="str">
        <f t="shared" si="5"/>
        <v/>
      </c>
      <c r="K75" s="703" t="str">
        <f t="shared" si="6"/>
        <v/>
      </c>
      <c r="L75" s="704"/>
      <c r="M75" s="705" t="str">
        <f t="shared" si="7"/>
        <v/>
      </c>
      <c r="N75" s="706"/>
      <c r="O75" s="309" t="str">
        <f>IF(E75="","",VLOOKUP(E75,수종별재적표!$B$14:$C$33,2,FALSE))</f>
        <v/>
      </c>
      <c r="P75" s="256"/>
      <c r="Q75" s="256"/>
      <c r="R75" s="256"/>
      <c r="S75" s="256"/>
      <c r="T75" s="256"/>
      <c r="U75" s="256"/>
    </row>
    <row r="76" spans="1:21" x14ac:dyDescent="0.3">
      <c r="A76" s="669"/>
      <c r="B76" s="584" t="s">
        <v>196</v>
      </c>
      <c r="C76" s="584"/>
      <c r="D76" s="584"/>
      <c r="E76" s="584" t="str">
        <f t="shared" si="4"/>
        <v/>
      </c>
      <c r="F76" s="584"/>
      <c r="G76" s="146"/>
      <c r="H76" s="286"/>
      <c r="I76" s="497" t="str">
        <f>IF(E76="","",VLOOKUP(J76,운반비산출!$J$9:$M$34,MATCH(O76,운반비산출!$K$9:$M$9)+1,FALSE))</f>
        <v/>
      </c>
      <c r="J76" s="308" t="str">
        <f t="shared" si="5"/>
        <v/>
      </c>
      <c r="K76" s="703" t="str">
        <f t="shared" si="6"/>
        <v/>
      </c>
      <c r="L76" s="704"/>
      <c r="M76" s="705" t="str">
        <f t="shared" si="7"/>
        <v/>
      </c>
      <c r="N76" s="706"/>
      <c r="O76" s="309" t="str">
        <f>IF(E76="","",VLOOKUP(E76,수종별재적표!$B$14:$C$33,2,FALSE))</f>
        <v/>
      </c>
      <c r="P76" s="256"/>
      <c r="Q76" s="256"/>
      <c r="R76" s="256"/>
      <c r="S76" s="256"/>
      <c r="T76" s="256"/>
      <c r="U76" s="256"/>
    </row>
    <row r="77" spans="1:21" x14ac:dyDescent="0.3">
      <c r="A77" s="669"/>
      <c r="B77" s="584" t="s">
        <v>196</v>
      </c>
      <c r="C77" s="584"/>
      <c r="D77" s="584"/>
      <c r="E77" s="584" t="str">
        <f t="shared" si="4"/>
        <v/>
      </c>
      <c r="F77" s="584"/>
      <c r="G77" s="146"/>
      <c r="H77" s="286"/>
      <c r="I77" s="497" t="str">
        <f>IF(E77="","",VLOOKUP(J77,운반비산출!$J$9:$M$34,MATCH(O77,운반비산출!$K$9:$M$9)+1,FALSE))</f>
        <v/>
      </c>
      <c r="J77" s="308" t="str">
        <f t="shared" si="5"/>
        <v/>
      </c>
      <c r="K77" s="703" t="str">
        <f t="shared" si="6"/>
        <v/>
      </c>
      <c r="L77" s="704"/>
      <c r="M77" s="705" t="str">
        <f t="shared" si="7"/>
        <v/>
      </c>
      <c r="N77" s="706"/>
      <c r="O77" s="309" t="str">
        <f>IF(E77="","",VLOOKUP(E77,수종별재적표!$B$14:$C$33,2,FALSE))</f>
        <v/>
      </c>
      <c r="P77" s="256"/>
      <c r="Q77" s="256"/>
      <c r="R77" s="256"/>
      <c r="S77" s="256"/>
      <c r="T77" s="256"/>
      <c r="U77" s="256"/>
    </row>
    <row r="78" spans="1:21" x14ac:dyDescent="0.3">
      <c r="A78" s="669"/>
      <c r="B78" s="584" t="s">
        <v>196</v>
      </c>
      <c r="C78" s="584"/>
      <c r="D78" s="584"/>
      <c r="E78" s="584" t="str">
        <f t="shared" si="4"/>
        <v/>
      </c>
      <c r="F78" s="584"/>
      <c r="G78" s="146"/>
      <c r="H78" s="286"/>
      <c r="I78" s="497" t="str">
        <f>IF(E78="","",VLOOKUP(J78,운반비산출!$J$9:$M$34,MATCH(O78,운반비산출!$K$9:$M$9)+1,FALSE))</f>
        <v/>
      </c>
      <c r="J78" s="308" t="str">
        <f t="shared" si="5"/>
        <v/>
      </c>
      <c r="K78" s="703" t="str">
        <f t="shared" si="6"/>
        <v/>
      </c>
      <c r="L78" s="704"/>
      <c r="M78" s="705" t="str">
        <f t="shared" si="7"/>
        <v/>
      </c>
      <c r="N78" s="706"/>
      <c r="O78" s="309" t="str">
        <f>IF(E78="","",VLOOKUP(E78,수종별재적표!$B$14:$C$33,2,FALSE))</f>
        <v/>
      </c>
      <c r="P78" s="256"/>
      <c r="Q78" s="256"/>
      <c r="R78" s="256"/>
      <c r="S78" s="256"/>
      <c r="T78" s="256"/>
      <c r="U78" s="256"/>
    </row>
    <row r="79" spans="1:21" x14ac:dyDescent="0.3">
      <c r="A79" s="669"/>
      <c r="B79" s="737"/>
      <c r="C79" s="737"/>
      <c r="D79" s="737"/>
      <c r="E79" s="737"/>
      <c r="F79" s="737"/>
      <c r="G79" s="147"/>
      <c r="H79" s="310"/>
      <c r="I79" s="311"/>
      <c r="J79" s="739"/>
      <c r="K79" s="740"/>
      <c r="L79" s="740"/>
      <c r="M79" s="740"/>
      <c r="N79" s="741"/>
      <c r="O79" s="256"/>
      <c r="P79" s="256"/>
      <c r="Q79" s="256"/>
      <c r="R79" s="256"/>
      <c r="S79" s="256"/>
      <c r="T79" s="256"/>
      <c r="U79" s="256"/>
    </row>
    <row r="80" spans="1:21" x14ac:dyDescent="0.3">
      <c r="A80" s="669"/>
      <c r="B80" s="737"/>
      <c r="C80" s="737"/>
      <c r="D80" s="737"/>
      <c r="E80" s="737"/>
      <c r="F80" s="737"/>
      <c r="G80" s="147"/>
      <c r="H80" s="310"/>
      <c r="I80" s="311"/>
      <c r="J80" s="737"/>
      <c r="K80" s="737"/>
      <c r="L80" s="737"/>
      <c r="M80" s="737"/>
      <c r="N80" s="738"/>
      <c r="O80" s="256"/>
      <c r="P80" s="256"/>
      <c r="Q80" s="256"/>
      <c r="R80" s="256"/>
      <c r="S80" s="256"/>
      <c r="T80" s="256"/>
      <c r="U80" s="256"/>
    </row>
    <row r="81" spans="1:21" x14ac:dyDescent="0.3">
      <c r="A81" s="669"/>
      <c r="B81" s="737"/>
      <c r="C81" s="737"/>
      <c r="D81" s="737"/>
      <c r="E81" s="737"/>
      <c r="F81" s="737"/>
      <c r="G81" s="147"/>
      <c r="H81" s="310"/>
      <c r="I81" s="311"/>
      <c r="J81" s="737"/>
      <c r="K81" s="737"/>
      <c r="L81" s="737"/>
      <c r="M81" s="737"/>
      <c r="N81" s="738"/>
      <c r="O81" s="256"/>
      <c r="P81" s="256"/>
      <c r="Q81" s="256"/>
      <c r="R81" s="256"/>
      <c r="S81" s="256"/>
      <c r="T81" s="256"/>
      <c r="U81" s="256"/>
    </row>
    <row r="82" spans="1:21" x14ac:dyDescent="0.3">
      <c r="A82" s="669"/>
      <c r="B82" s="584" t="s">
        <v>197</v>
      </c>
      <c r="C82" s="584"/>
      <c r="D82" s="584"/>
      <c r="E82" s="584" t="s">
        <v>198</v>
      </c>
      <c r="F82" s="584"/>
      <c r="G82" s="146"/>
      <c r="H82" s="286"/>
      <c r="I82" s="312">
        <f>기본자료!D49</f>
        <v>3173</v>
      </c>
      <c r="J82" s="700" t="s">
        <v>199</v>
      </c>
      <c r="K82" s="701"/>
      <c r="L82" s="701"/>
      <c r="M82" s="701"/>
      <c r="N82" s="702"/>
      <c r="O82" s="256"/>
      <c r="P82" s="256"/>
      <c r="Q82" s="256"/>
      <c r="R82" s="256"/>
      <c r="S82" s="256"/>
      <c r="T82" s="256"/>
      <c r="U82" s="256"/>
    </row>
    <row r="83" spans="1:21" x14ac:dyDescent="0.3">
      <c r="A83" s="669"/>
      <c r="B83" s="584" t="s">
        <v>200</v>
      </c>
      <c r="C83" s="584"/>
      <c r="D83" s="584"/>
      <c r="E83" s="584" t="s">
        <v>201</v>
      </c>
      <c r="F83" s="584"/>
      <c r="G83" s="146"/>
      <c r="H83" s="286"/>
      <c r="I83" s="312">
        <f>기본자료!G46</f>
        <v>0</v>
      </c>
      <c r="J83" s="747" t="s">
        <v>202</v>
      </c>
      <c r="K83" s="747"/>
      <c r="L83" s="747"/>
      <c r="M83" s="747"/>
      <c r="N83" s="748"/>
      <c r="O83" s="256"/>
      <c r="P83" s="256"/>
      <c r="Q83" s="256"/>
      <c r="R83" s="256"/>
      <c r="S83" s="256"/>
      <c r="T83" s="256"/>
      <c r="U83" s="256"/>
    </row>
    <row r="84" spans="1:21" x14ac:dyDescent="0.3">
      <c r="A84" s="669"/>
      <c r="B84" s="742" t="str">
        <f>SUBSTITUTE(SUBSTITUTE(기본자료!B51,"- ",""),"9.","")</f>
        <v xml:space="preserve"> 기타비용 </v>
      </c>
      <c r="C84" s="742"/>
      <c r="D84" s="742"/>
      <c r="E84" s="742" t="str">
        <f>기본자료!$C$51</f>
        <v/>
      </c>
      <c r="F84" s="742"/>
      <c r="G84" s="501"/>
      <c r="H84" s="306"/>
      <c r="I84" s="502">
        <f>기본자료!$E$51</f>
        <v>0</v>
      </c>
      <c r="J84" s="743"/>
      <c r="K84" s="743"/>
      <c r="L84" s="743"/>
      <c r="M84" s="743"/>
      <c r="N84" s="744"/>
      <c r="O84" s="256"/>
      <c r="P84" s="256"/>
      <c r="Q84" s="256"/>
      <c r="R84" s="256"/>
      <c r="S84" s="256"/>
      <c r="T84" s="256"/>
      <c r="U84" s="256"/>
    </row>
    <row r="85" spans="1:21" x14ac:dyDescent="0.3">
      <c r="A85" s="670"/>
      <c r="B85" s="742"/>
      <c r="C85" s="742"/>
      <c r="D85" s="742"/>
      <c r="E85" s="742"/>
      <c r="F85" s="742"/>
      <c r="G85" s="305"/>
      <c r="H85" s="306"/>
      <c r="I85" s="306"/>
      <c r="J85" s="745"/>
      <c r="K85" s="745"/>
      <c r="L85" s="745"/>
      <c r="M85" s="745"/>
      <c r="N85" s="746"/>
      <c r="O85" s="256"/>
      <c r="P85" s="256"/>
      <c r="Q85" s="256"/>
      <c r="R85" s="256"/>
      <c r="S85" s="256"/>
      <c r="T85" s="256"/>
      <c r="U85" s="256"/>
    </row>
    <row r="86" spans="1:21" x14ac:dyDescent="0.3">
      <c r="A86" s="670"/>
      <c r="B86" s="742"/>
      <c r="C86" s="742"/>
      <c r="D86" s="742"/>
      <c r="E86" s="742"/>
      <c r="F86" s="742"/>
      <c r="G86" s="305"/>
      <c r="H86" s="306"/>
      <c r="I86" s="306"/>
      <c r="J86" s="745"/>
      <c r="K86" s="745"/>
      <c r="L86" s="745"/>
      <c r="M86" s="745"/>
      <c r="N86" s="746"/>
      <c r="O86" s="256"/>
      <c r="P86" s="256"/>
      <c r="Q86" s="256"/>
      <c r="R86" s="256"/>
      <c r="S86" s="256"/>
      <c r="T86" s="256"/>
      <c r="U86" s="256"/>
    </row>
    <row r="87" spans="1:21" x14ac:dyDescent="0.3">
      <c r="A87" s="670"/>
      <c r="B87" s="742"/>
      <c r="C87" s="742"/>
      <c r="D87" s="742"/>
      <c r="E87" s="742"/>
      <c r="F87" s="742"/>
      <c r="G87" s="305"/>
      <c r="H87" s="306"/>
      <c r="I87" s="306"/>
      <c r="J87" s="745"/>
      <c r="K87" s="745"/>
      <c r="L87" s="745"/>
      <c r="M87" s="745"/>
      <c r="N87" s="746"/>
      <c r="O87" s="256"/>
      <c r="P87" s="256"/>
      <c r="Q87" s="256"/>
      <c r="R87" s="256"/>
      <c r="S87" s="256"/>
      <c r="T87" s="256"/>
      <c r="U87" s="256"/>
    </row>
    <row r="88" spans="1:21" x14ac:dyDescent="0.3">
      <c r="A88" s="671"/>
      <c r="B88" s="584" t="s">
        <v>203</v>
      </c>
      <c r="C88" s="584"/>
      <c r="D88" s="584"/>
      <c r="E88" s="584"/>
      <c r="F88" s="584"/>
      <c r="G88" s="584"/>
      <c r="H88" s="584"/>
      <c r="I88" s="461">
        <f>SUM(I82:I87,I54:I57)</f>
        <v>14782</v>
      </c>
      <c r="J88" s="747" t="s">
        <v>204</v>
      </c>
      <c r="K88" s="747"/>
      <c r="L88" s="747"/>
      <c r="M88" s="747"/>
      <c r="N88" s="748"/>
      <c r="O88" s="256">
        <f>SUM(I82:I87)</f>
        <v>3173</v>
      </c>
      <c r="P88" s="256"/>
      <c r="Q88" s="256"/>
      <c r="R88" s="256"/>
      <c r="S88" s="256"/>
      <c r="T88" s="256"/>
      <c r="U88" s="256"/>
    </row>
    <row r="89" spans="1:21" x14ac:dyDescent="0.3">
      <c r="A89" s="313"/>
      <c r="B89" s="291"/>
      <c r="C89" s="29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314"/>
      <c r="O89" s="256"/>
      <c r="P89" s="256"/>
      <c r="Q89" s="256"/>
      <c r="R89" s="256"/>
      <c r="S89" s="256"/>
      <c r="T89" s="256"/>
      <c r="U89" s="256"/>
    </row>
    <row r="90" spans="1:21" x14ac:dyDescent="0.3">
      <c r="A90" s="315" t="s">
        <v>205</v>
      </c>
      <c r="B90" s="316"/>
      <c r="C90" s="317"/>
      <c r="D90" s="318" t="s">
        <v>206</v>
      </c>
      <c r="E90" s="749">
        <f>E95</f>
        <v>620</v>
      </c>
      <c r="F90" s="749"/>
      <c r="G90" s="319" t="s">
        <v>207</v>
      </c>
      <c r="H90" s="320"/>
      <c r="I90" s="320"/>
      <c r="J90" s="320"/>
      <c r="K90" s="320"/>
      <c r="L90" s="321"/>
      <c r="M90" s="291"/>
      <c r="N90" s="314"/>
      <c r="O90" s="256"/>
      <c r="P90" s="256"/>
      <c r="Q90" s="256"/>
      <c r="R90" s="256"/>
      <c r="S90" s="256"/>
      <c r="T90" s="256"/>
      <c r="U90" s="256"/>
    </row>
    <row r="91" spans="1:21" x14ac:dyDescent="0.3">
      <c r="A91" s="322" t="s">
        <v>208</v>
      </c>
      <c r="B91" s="584" t="s">
        <v>209</v>
      </c>
      <c r="C91" s="584"/>
      <c r="D91" s="584"/>
      <c r="E91" s="584" t="s">
        <v>210</v>
      </c>
      <c r="F91" s="584"/>
      <c r="G91" s="584" t="s">
        <v>211</v>
      </c>
      <c r="H91" s="584"/>
      <c r="I91" s="750" t="s">
        <v>212</v>
      </c>
      <c r="J91" s="751"/>
      <c r="K91" s="751"/>
      <c r="L91" s="751"/>
      <c r="M91" s="751"/>
      <c r="N91" s="752"/>
      <c r="O91" s="256"/>
      <c r="P91" s="256"/>
      <c r="Q91" s="256"/>
      <c r="R91" s="256"/>
      <c r="S91" s="256"/>
      <c r="T91" s="256"/>
      <c r="U91" s="256"/>
    </row>
    <row r="92" spans="1:21" x14ac:dyDescent="0.3">
      <c r="A92" s="323"/>
      <c r="B92" s="762" t="s">
        <v>213</v>
      </c>
      <c r="C92" s="762"/>
      <c r="D92" s="762"/>
      <c r="E92" s="767">
        <f>IF(ISNUMBER(G92),ROUND(G92,0),"")</f>
        <v>0</v>
      </c>
      <c r="F92" s="767"/>
      <c r="G92" s="770">
        <f>IF(AND(ISNUMBER(기본자료!D55),수종별재적표!D5="입목"),기본자료!D55,"미반영")</f>
        <v>0</v>
      </c>
      <c r="H92" s="770"/>
      <c r="I92" s="765"/>
      <c r="J92" s="765"/>
      <c r="K92" s="765"/>
      <c r="L92" s="765"/>
      <c r="M92" s="765"/>
      <c r="N92" s="766"/>
      <c r="O92" s="256"/>
      <c r="P92" s="256"/>
      <c r="Q92" s="256"/>
      <c r="R92" s="256"/>
      <c r="S92" s="256"/>
      <c r="T92" s="256"/>
      <c r="U92" s="256"/>
    </row>
    <row r="93" spans="1:21" x14ac:dyDescent="0.3">
      <c r="A93" s="323" t="s">
        <v>214</v>
      </c>
      <c r="B93" s="762" t="s">
        <v>215</v>
      </c>
      <c r="C93" s="762"/>
      <c r="D93" s="762"/>
      <c r="E93" s="767">
        <f>IF(AND(ISNUMBER(G93),수종별재적표!D5="입목"),ROUND(G93,0),"")</f>
        <v>620</v>
      </c>
      <c r="F93" s="767"/>
      <c r="G93" s="770">
        <f>IF(AND(기본자료!D56&gt;0,AND(수종별재적표!D5="입목",수종별재적표!E13&gt;0)),기본자료!D56,"미반영")</f>
        <v>620</v>
      </c>
      <c r="H93" s="770"/>
      <c r="I93" s="771" t="str">
        <f>IF(G93="미반영","","요율= "&amp;기본자료!G61&amp;"/1000  ,노무비율="&amp;기본자료!I61&amp;"원")</f>
        <v>요율= /1000  ,노무비율=원</v>
      </c>
      <c r="J93" s="771"/>
      <c r="K93" s="771"/>
      <c r="L93" s="771"/>
      <c r="M93" s="771"/>
      <c r="N93" s="772"/>
      <c r="O93" s="256"/>
      <c r="P93" s="256"/>
      <c r="Q93" s="256"/>
      <c r="R93" s="256"/>
      <c r="S93" s="256"/>
      <c r="T93" s="256"/>
      <c r="U93" s="256"/>
    </row>
    <row r="94" spans="1:21" x14ac:dyDescent="0.3">
      <c r="A94" s="323"/>
      <c r="B94" s="762" t="s">
        <v>216</v>
      </c>
      <c r="C94" s="762"/>
      <c r="D94" s="762"/>
      <c r="E94" s="763" t="s">
        <v>217</v>
      </c>
      <c r="F94" s="763"/>
      <c r="G94" s="764">
        <f>IF(ISNUMBER(기본자료!E57),기본자료!E57,"미반영")</f>
        <v>0</v>
      </c>
      <c r="H94" s="764"/>
      <c r="I94" s="765" t="str">
        <f>IF(ISNUMBER(G94),"벌목제재비 및 운반비의 " &amp; 기본자료!E57  &amp;"%","")</f>
        <v>벌목제재비 및 운반비의 0%</v>
      </c>
      <c r="J94" s="765"/>
      <c r="K94" s="765"/>
      <c r="L94" s="765"/>
      <c r="M94" s="765"/>
      <c r="N94" s="766"/>
      <c r="O94" s="309">
        <f>IF(AND(ISNUMBER(기본자료!D66),ISNUMBER(기본자료!D68)),기본자료!D66/12*기본자료!D68)</f>
        <v>0.89333333333333342</v>
      </c>
      <c r="P94" s="256"/>
      <c r="Q94" s="256"/>
      <c r="R94" s="256"/>
      <c r="S94" s="256"/>
      <c r="T94" s="256"/>
      <c r="U94" s="256"/>
    </row>
    <row r="95" spans="1:21" x14ac:dyDescent="0.3">
      <c r="A95" s="324"/>
      <c r="B95" s="584" t="s">
        <v>218</v>
      </c>
      <c r="C95" s="584"/>
      <c r="D95" s="584"/>
      <c r="E95" s="767">
        <f>SUM(E92,E93)</f>
        <v>620</v>
      </c>
      <c r="F95" s="767"/>
      <c r="G95" s="768" t="s">
        <v>74</v>
      </c>
      <c r="H95" s="769"/>
      <c r="I95" s="765" t="s">
        <v>219</v>
      </c>
      <c r="J95" s="765"/>
      <c r="K95" s="765"/>
      <c r="L95" s="765"/>
      <c r="M95" s="765"/>
      <c r="N95" s="766"/>
      <c r="O95" s="256"/>
      <c r="P95" s="256"/>
      <c r="Q95" s="256"/>
      <c r="R95" s="256"/>
      <c r="S95" s="256"/>
      <c r="T95" s="256"/>
      <c r="U95" s="256"/>
    </row>
    <row r="96" spans="1:21" x14ac:dyDescent="0.3">
      <c r="A96" s="313"/>
      <c r="B96" s="291"/>
      <c r="C96" s="291"/>
      <c r="D96" s="291"/>
      <c r="E96" s="291"/>
      <c r="F96" s="291"/>
      <c r="G96" s="291"/>
      <c r="H96" s="291"/>
      <c r="I96" s="291"/>
      <c r="J96" s="291"/>
      <c r="K96" s="291"/>
      <c r="L96" s="291"/>
      <c r="M96" s="291"/>
      <c r="N96" s="314"/>
      <c r="O96" s="256"/>
      <c r="P96" s="256"/>
      <c r="Q96" s="256"/>
      <c r="R96" s="256"/>
      <c r="S96" s="256"/>
      <c r="T96" s="256"/>
      <c r="U96" s="256"/>
    </row>
    <row r="97" spans="1:21" x14ac:dyDescent="0.3">
      <c r="A97" s="325" t="s">
        <v>220</v>
      </c>
      <c r="B97" s="291"/>
      <c r="C97" s="291"/>
      <c r="D97" s="291"/>
      <c r="E97" s="291"/>
      <c r="F97" s="291"/>
      <c r="G97" s="291"/>
      <c r="H97" s="291"/>
      <c r="I97" s="291"/>
      <c r="J97" s="291"/>
      <c r="K97" s="291"/>
      <c r="L97" s="291"/>
      <c r="M97" s="291"/>
      <c r="N97" s="314"/>
      <c r="O97" s="256"/>
      <c r="P97" s="256"/>
      <c r="Q97" s="256"/>
      <c r="R97" s="256"/>
      <c r="S97" s="256"/>
      <c r="T97" s="256"/>
      <c r="U97" s="256"/>
    </row>
    <row r="98" spans="1:21" x14ac:dyDescent="0.3">
      <c r="A98" s="313"/>
      <c r="B98" s="758" t="str">
        <f>"가. 금리(연) : "&amp;IF(기본자료!D66="","-미반영-",기본자료!D66&amp;"%")</f>
        <v>가. 금리(연) : 2.68%</v>
      </c>
      <c r="C98" s="759"/>
      <c r="D98" s="759"/>
      <c r="E98" s="759"/>
      <c r="F98" s="759"/>
      <c r="G98" s="701" t="str">
        <f>"나. 자금회수기간 : "&amp;IF(기본자료!D68="","-미반영-",기본자료!D68&amp;"개월")</f>
        <v>나. 자금회수기간 : 4개월</v>
      </c>
      <c r="H98" s="759"/>
      <c r="I98" s="759"/>
      <c r="J98" s="759"/>
      <c r="K98" s="759" t="str">
        <f>"다. 자본금에 대한 금리 : "&amp;IF(기본자료!D66="","-미반영-",ROUNDDOWN(기본자료!D66/12*기본자료!D68,2)&amp;"%")</f>
        <v>다. 자본금에 대한 금리 : 0.89%</v>
      </c>
      <c r="L98" s="759"/>
      <c r="M98" s="759"/>
      <c r="N98" s="760"/>
      <c r="O98" s="256"/>
      <c r="P98" s="256"/>
      <c r="Q98" s="256"/>
      <c r="R98" s="256"/>
      <c r="S98" s="256"/>
      <c r="T98" s="256"/>
      <c r="U98" s="256"/>
    </row>
    <row r="99" spans="1:21" x14ac:dyDescent="0.3">
      <c r="A99" s="313"/>
      <c r="B99" s="291" t="str">
        <f>"라. 기업상의 순이익 : "&amp;IF(기본자료!D69="","-미반영-",기본자료!D69&amp;"%")</f>
        <v>라. 기업상의 순이익 : 0%</v>
      </c>
      <c r="C99" s="291"/>
      <c r="D99" s="291"/>
      <c r="E99" s="291"/>
      <c r="F99" s="291"/>
      <c r="G99" s="291" t="str">
        <f>"마. 생산도중의 결손율 : "&amp;IF(기본자료!D70="","-미반영-",기본자료!D70&amp;"%")</f>
        <v>마. 생산도중의 결손율 : 0%</v>
      </c>
      <c r="H99" s="291"/>
      <c r="I99" s="291"/>
      <c r="J99" s="291"/>
      <c r="K99" s="759" t="s">
        <v>221</v>
      </c>
      <c r="L99" s="759"/>
      <c r="M99" s="326">
        <f>ROUNDDOWN(SUM(O94,기본자료!D69,기본자료!D70),2)</f>
        <v>0.89</v>
      </c>
      <c r="N99" s="314" t="s">
        <v>222</v>
      </c>
      <c r="O99" s="256"/>
      <c r="P99" s="256"/>
      <c r="Q99" s="256"/>
      <c r="R99" s="256"/>
      <c r="S99" s="256"/>
      <c r="T99" s="256"/>
      <c r="U99" s="256"/>
    </row>
    <row r="100" spans="1:21" x14ac:dyDescent="0.3">
      <c r="A100" s="313" t="s">
        <v>223</v>
      </c>
      <c r="B100" s="291"/>
      <c r="C100" s="291"/>
      <c r="D100" s="291"/>
      <c r="E100" s="761">
        <f>IF(ISNUMBER(M99),ROUNDDOWN((M99/100)/(1+(M99/100)),4))</f>
        <v>8.8000000000000005E-3</v>
      </c>
      <c r="F100" s="761"/>
      <c r="G100" s="327" t="s">
        <v>224</v>
      </c>
      <c r="H100" s="759" t="s">
        <v>225</v>
      </c>
      <c r="I100" s="759"/>
      <c r="J100" s="759"/>
      <c r="K100" s="759"/>
      <c r="L100" s="759"/>
      <c r="M100" s="759"/>
      <c r="N100" s="760"/>
      <c r="O100" s="256"/>
      <c r="P100" s="256"/>
      <c r="Q100" s="256"/>
      <c r="R100" s="256"/>
      <c r="S100" s="256"/>
      <c r="T100" s="256"/>
      <c r="U100" s="256"/>
    </row>
    <row r="101" spans="1:21" x14ac:dyDescent="0.3">
      <c r="A101" s="313" t="s">
        <v>226</v>
      </c>
      <c r="B101" s="291"/>
      <c r="C101" s="291"/>
      <c r="D101" s="291"/>
      <c r="E101" s="291"/>
      <c r="F101" s="753"/>
      <c r="G101" s="753"/>
      <c r="H101" s="753"/>
      <c r="I101" s="753"/>
      <c r="J101" s="753"/>
      <c r="K101" s="753"/>
      <c r="L101" s="753"/>
      <c r="M101" s="753"/>
      <c r="N101" s="754"/>
      <c r="O101" s="256"/>
      <c r="P101" s="256"/>
      <c r="Q101" s="256"/>
      <c r="R101" s="256"/>
      <c r="S101" s="256"/>
      <c r="T101" s="256"/>
      <c r="U101" s="256"/>
    </row>
    <row r="102" spans="1:21" x14ac:dyDescent="0.3">
      <c r="A102" s="678" t="s">
        <v>227</v>
      </c>
      <c r="B102" s="679"/>
      <c r="C102" s="679"/>
      <c r="D102" s="679"/>
      <c r="E102" s="679"/>
      <c r="F102" s="679"/>
      <c r="G102" s="679"/>
      <c r="H102" s="679"/>
      <c r="I102" s="679"/>
      <c r="J102" s="679"/>
      <c r="K102" s="679"/>
      <c r="L102" s="679"/>
      <c r="M102" s="679"/>
      <c r="N102" s="680"/>
    </row>
    <row r="103" spans="1:21" x14ac:dyDescent="0.3">
      <c r="A103" s="675"/>
      <c r="B103" s="676"/>
      <c r="C103" s="676"/>
      <c r="D103" s="676"/>
      <c r="E103" s="676"/>
      <c r="F103" s="676"/>
      <c r="G103" s="676"/>
      <c r="H103" s="676"/>
      <c r="I103" s="676"/>
      <c r="J103" s="676"/>
      <c r="K103" s="676"/>
      <c r="L103" s="676"/>
      <c r="M103" s="676"/>
      <c r="N103" s="677"/>
    </row>
    <row r="104" spans="1:21" x14ac:dyDescent="0.3">
      <c r="A104" s="675"/>
      <c r="B104" s="676"/>
      <c r="C104" s="676"/>
      <c r="D104" s="676"/>
      <c r="E104" s="676"/>
      <c r="F104" s="676"/>
      <c r="G104" s="676"/>
      <c r="H104" s="676"/>
      <c r="I104" s="676"/>
      <c r="J104" s="676"/>
      <c r="K104" s="676"/>
      <c r="L104" s="676"/>
      <c r="M104" s="676"/>
      <c r="N104" s="677"/>
    </row>
    <row r="105" spans="1:21" x14ac:dyDescent="0.3">
      <c r="A105" s="672"/>
      <c r="B105" s="673"/>
      <c r="C105" s="673"/>
      <c r="D105" s="673"/>
      <c r="E105" s="673"/>
      <c r="F105" s="673"/>
      <c r="G105" s="673"/>
      <c r="H105" s="673"/>
      <c r="I105" s="673"/>
      <c r="J105" s="673"/>
      <c r="K105" s="673"/>
      <c r="L105" s="673"/>
      <c r="M105" s="673"/>
      <c r="N105" s="674"/>
    </row>
  </sheetData>
  <protectedRanges>
    <protectedRange sqref="F13:G29 A13:C29" name="범위1"/>
    <protectedRange sqref="A7:C12 F7:G12" name="범위1_1"/>
  </protectedRanges>
  <mergeCells count="218">
    <mergeCell ref="F101:N101"/>
    <mergeCell ref="B58:N58"/>
    <mergeCell ref="B98:F98"/>
    <mergeCell ref="G98:J98"/>
    <mergeCell ref="K98:N98"/>
    <mergeCell ref="K99:L99"/>
    <mergeCell ref="E100:F100"/>
    <mergeCell ref="H100:N100"/>
    <mergeCell ref="B94:D94"/>
    <mergeCell ref="E94:F94"/>
    <mergeCell ref="G94:H94"/>
    <mergeCell ref="I94:N94"/>
    <mergeCell ref="B95:D95"/>
    <mergeCell ref="E95:F95"/>
    <mergeCell ref="G95:H95"/>
    <mergeCell ref="I95:N95"/>
    <mergeCell ref="B92:D92"/>
    <mergeCell ref="E92:F92"/>
    <mergeCell ref="G92:H92"/>
    <mergeCell ref="I92:N92"/>
    <mergeCell ref="B93:D93"/>
    <mergeCell ref="E93:F93"/>
    <mergeCell ref="G93:H93"/>
    <mergeCell ref="I93:N93"/>
    <mergeCell ref="B88:H88"/>
    <mergeCell ref="J88:N88"/>
    <mergeCell ref="E90:F90"/>
    <mergeCell ref="B91:D91"/>
    <mergeCell ref="E91:F91"/>
    <mergeCell ref="G91:H91"/>
    <mergeCell ref="I91:N91"/>
    <mergeCell ref="B86:D86"/>
    <mergeCell ref="E86:F86"/>
    <mergeCell ref="J86:N86"/>
    <mergeCell ref="B87:D87"/>
    <mergeCell ref="E87:F87"/>
    <mergeCell ref="J87:N87"/>
    <mergeCell ref="B84:D84"/>
    <mergeCell ref="E84:F84"/>
    <mergeCell ref="J84:N84"/>
    <mergeCell ref="B85:D85"/>
    <mergeCell ref="E85:F85"/>
    <mergeCell ref="J85:N85"/>
    <mergeCell ref="B82:D82"/>
    <mergeCell ref="E82:F82"/>
    <mergeCell ref="J82:N82"/>
    <mergeCell ref="B83:D83"/>
    <mergeCell ref="E83:F83"/>
    <mergeCell ref="J83:N83"/>
    <mergeCell ref="B80:D80"/>
    <mergeCell ref="E80:F80"/>
    <mergeCell ref="J80:N80"/>
    <mergeCell ref="B81:D81"/>
    <mergeCell ref="E81:F81"/>
    <mergeCell ref="J81:N81"/>
    <mergeCell ref="B78:D78"/>
    <mergeCell ref="E78:F78"/>
    <mergeCell ref="K78:L78"/>
    <mergeCell ref="M78:N78"/>
    <mergeCell ref="B79:D79"/>
    <mergeCell ref="E79:F79"/>
    <mergeCell ref="J79:N79"/>
    <mergeCell ref="B76:D76"/>
    <mergeCell ref="E76:F76"/>
    <mergeCell ref="K76:L76"/>
    <mergeCell ref="M76:N76"/>
    <mergeCell ref="B77:D77"/>
    <mergeCell ref="E77:F77"/>
    <mergeCell ref="K77:L77"/>
    <mergeCell ref="M77:N77"/>
    <mergeCell ref="B74:D74"/>
    <mergeCell ref="E74:F74"/>
    <mergeCell ref="K74:L74"/>
    <mergeCell ref="M74:N74"/>
    <mergeCell ref="B75:D75"/>
    <mergeCell ref="E75:F75"/>
    <mergeCell ref="K75:L75"/>
    <mergeCell ref="M75:N75"/>
    <mergeCell ref="B72:D72"/>
    <mergeCell ref="E72:F72"/>
    <mergeCell ref="K72:L72"/>
    <mergeCell ref="M72:N72"/>
    <mergeCell ref="B73:D73"/>
    <mergeCell ref="E73:F73"/>
    <mergeCell ref="K73:L73"/>
    <mergeCell ref="M73:N73"/>
    <mergeCell ref="B70:D70"/>
    <mergeCell ref="E70:F70"/>
    <mergeCell ref="K70:L70"/>
    <mergeCell ref="M70:N70"/>
    <mergeCell ref="B71:D71"/>
    <mergeCell ref="E71:F71"/>
    <mergeCell ref="K71:L71"/>
    <mergeCell ref="M71:N71"/>
    <mergeCell ref="B68:D68"/>
    <mergeCell ref="E68:F68"/>
    <mergeCell ref="K68:L68"/>
    <mergeCell ref="M68:N68"/>
    <mergeCell ref="B69:D69"/>
    <mergeCell ref="E69:F69"/>
    <mergeCell ref="K69:L69"/>
    <mergeCell ref="M69:N69"/>
    <mergeCell ref="B66:D66"/>
    <mergeCell ref="E66:F66"/>
    <mergeCell ref="K66:L66"/>
    <mergeCell ref="M66:N66"/>
    <mergeCell ref="B67:D67"/>
    <mergeCell ref="E67:F67"/>
    <mergeCell ref="K67:L67"/>
    <mergeCell ref="M67:N67"/>
    <mergeCell ref="B64:D64"/>
    <mergeCell ref="E64:F64"/>
    <mergeCell ref="K64:L64"/>
    <mergeCell ref="M64:N64"/>
    <mergeCell ref="B65:D65"/>
    <mergeCell ref="E65:F65"/>
    <mergeCell ref="K65:L65"/>
    <mergeCell ref="M65:N65"/>
    <mergeCell ref="B63:D63"/>
    <mergeCell ref="E63:F63"/>
    <mergeCell ref="K63:L63"/>
    <mergeCell ref="M63:N63"/>
    <mergeCell ref="B62:D62"/>
    <mergeCell ref="E62:F62"/>
    <mergeCell ref="K62:L62"/>
    <mergeCell ref="M62:N62"/>
    <mergeCell ref="J46:N46"/>
    <mergeCell ref="E47:F47"/>
    <mergeCell ref="J47:N47"/>
    <mergeCell ref="E49:F49"/>
    <mergeCell ref="B50:H50"/>
    <mergeCell ref="J50:N50"/>
    <mergeCell ref="E60:F60"/>
    <mergeCell ref="K60:L60"/>
    <mergeCell ref="M60:N60"/>
    <mergeCell ref="B61:D61"/>
    <mergeCell ref="E61:F61"/>
    <mergeCell ref="K61:L61"/>
    <mergeCell ref="M61:N61"/>
    <mergeCell ref="B56:D56"/>
    <mergeCell ref="E56:F56"/>
    <mergeCell ref="J56:L56"/>
    <mergeCell ref="M56:N56"/>
    <mergeCell ref="B57:D57"/>
    <mergeCell ref="E57:F57"/>
    <mergeCell ref="A43:D44"/>
    <mergeCell ref="E43:F44"/>
    <mergeCell ref="G43:H43"/>
    <mergeCell ref="J43:N44"/>
    <mergeCell ref="A45:A50"/>
    <mergeCell ref="B45:D45"/>
    <mergeCell ref="E45:F45"/>
    <mergeCell ref="E46:F46"/>
    <mergeCell ref="J49:N49"/>
    <mergeCell ref="B48:H48"/>
    <mergeCell ref="B46:D47"/>
    <mergeCell ref="B49:D49"/>
    <mergeCell ref="J48:N48"/>
    <mergeCell ref="J45:K45"/>
    <mergeCell ref="L45:N45"/>
    <mergeCell ref="A25:C25"/>
    <mergeCell ref="A26:C26"/>
    <mergeCell ref="A27:C27"/>
    <mergeCell ref="A28:C28"/>
    <mergeCell ref="A29:C29"/>
    <mergeCell ref="A30:N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1:N1"/>
    <mergeCell ref="A3:C3"/>
    <mergeCell ref="D3:N3"/>
    <mergeCell ref="A4:C6"/>
    <mergeCell ref="D4:D6"/>
    <mergeCell ref="E4:E5"/>
    <mergeCell ref="H4:L4"/>
    <mergeCell ref="I5:I6"/>
    <mergeCell ref="J5:J6"/>
    <mergeCell ref="L5:L6"/>
    <mergeCell ref="A59:A88"/>
    <mergeCell ref="A105:N105"/>
    <mergeCell ref="A104:N104"/>
    <mergeCell ref="A103:N103"/>
    <mergeCell ref="A102:N102"/>
    <mergeCell ref="A51:A58"/>
    <mergeCell ref="B51:D53"/>
    <mergeCell ref="E51:F51"/>
    <mergeCell ref="L51:N51"/>
    <mergeCell ref="E52:F52"/>
    <mergeCell ref="J52:N52"/>
    <mergeCell ref="E53:F53"/>
    <mergeCell ref="J53:N53"/>
    <mergeCell ref="B54:H54"/>
    <mergeCell ref="J54:N54"/>
    <mergeCell ref="J57:N57"/>
    <mergeCell ref="B59:D59"/>
    <mergeCell ref="E59:F59"/>
    <mergeCell ref="K59:L59"/>
    <mergeCell ref="M59:N59"/>
    <mergeCell ref="B60:D60"/>
    <mergeCell ref="B55:D55"/>
    <mergeCell ref="E55:F55"/>
    <mergeCell ref="J55:N5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0" fitToHeight="0" orientation="portrait" verticalDpi="0" r:id="rId1"/>
  <headerFooter alignWithMargins="0"/>
  <ignoredErrors>
    <ignoredError sqref="H56:I56 I54" formula="1"/>
    <ignoredError sqref="B84 I84 E84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1">
    <pageSetUpPr fitToPage="1"/>
  </sheetPr>
  <dimension ref="A1:F27"/>
  <sheetViews>
    <sheetView workbookViewId="0">
      <selection sqref="A1:E1"/>
    </sheetView>
  </sheetViews>
  <sheetFormatPr defaultRowHeight="16.5" x14ac:dyDescent="0.3"/>
  <cols>
    <col min="1" max="1" width="17" customWidth="1"/>
    <col min="2" max="2" width="15" customWidth="1"/>
    <col min="3" max="3" width="16.75" customWidth="1"/>
    <col min="4" max="4" width="19.25" customWidth="1"/>
    <col min="5" max="5" width="19.5" customWidth="1"/>
    <col min="6" max="6" width="0" hidden="1" customWidth="1"/>
  </cols>
  <sheetData>
    <row r="1" spans="1:6" ht="25.5" x14ac:dyDescent="0.3">
      <c r="A1" s="707" t="s">
        <v>228</v>
      </c>
      <c r="B1" s="773"/>
      <c r="C1" s="773"/>
      <c r="D1" s="773"/>
      <c r="E1" s="774"/>
      <c r="F1" s="343"/>
    </row>
    <row r="2" spans="1:6" x14ac:dyDescent="0.3">
      <c r="A2" s="332"/>
      <c r="B2" s="333"/>
      <c r="C2" s="333"/>
      <c r="D2" s="333"/>
      <c r="E2" s="346"/>
      <c r="F2" s="343"/>
    </row>
    <row r="3" spans="1:6" x14ac:dyDescent="0.3">
      <c r="A3" s="332" t="s">
        <v>229</v>
      </c>
      <c r="B3" s="334" t="str">
        <f>수종별재적표!D3</f>
        <v>강릉 54임반 4(라)소반 외 1 개소</v>
      </c>
      <c r="C3" s="274"/>
      <c r="D3" s="274"/>
      <c r="E3" s="276"/>
      <c r="F3" s="344"/>
    </row>
    <row r="4" spans="1:6" x14ac:dyDescent="0.3">
      <c r="A4" s="332"/>
      <c r="B4" s="334"/>
      <c r="C4" s="335"/>
      <c r="D4" s="335"/>
      <c r="E4" s="347"/>
      <c r="F4" s="344"/>
    </row>
    <row r="5" spans="1:6" x14ac:dyDescent="0.3">
      <c r="A5" s="775" t="s">
        <v>231</v>
      </c>
      <c r="B5" s="777" t="s">
        <v>232</v>
      </c>
      <c r="C5" s="412" t="s">
        <v>233</v>
      </c>
      <c r="D5" s="777" t="s">
        <v>234</v>
      </c>
      <c r="E5" s="780" t="s">
        <v>235</v>
      </c>
      <c r="F5" s="344"/>
    </row>
    <row r="6" spans="1:6" x14ac:dyDescent="0.3">
      <c r="A6" s="776"/>
      <c r="B6" s="778"/>
      <c r="C6" s="413" t="s">
        <v>236</v>
      </c>
      <c r="D6" s="779"/>
      <c r="E6" s="781"/>
      <c r="F6" s="345"/>
    </row>
    <row r="7" spans="1:6" x14ac:dyDescent="0.3">
      <c r="A7" s="414" t="s">
        <v>237</v>
      </c>
      <c r="B7" s="337">
        <f>SUM(B8:B12)</f>
        <v>12.01</v>
      </c>
      <c r="C7" s="337"/>
      <c r="D7" s="338">
        <f>IF(SUM(D8:D26)=0,"",ROUND(SUM(D8:D26),0))</f>
        <v>144180</v>
      </c>
      <c r="E7" s="339" t="str">
        <f>기본자료!H86</f>
        <v>1</v>
      </c>
      <c r="F7" s="345"/>
    </row>
    <row r="8" spans="1:6" x14ac:dyDescent="0.3">
      <c r="A8" s="340" t="str">
        <f>IF(E7="5","",IF(기본자료!D87="","",기본자료!B87))</f>
        <v>강원지방소나무</v>
      </c>
      <c r="B8" s="351">
        <f>IF(기본자료!D87="","",기본자료!D87)</f>
        <v>3.49</v>
      </c>
      <c r="C8" s="341">
        <f>IF(A8="","",IF(LEFT($E$7,1)="1",사정표!$I$50,IF(LEFT($E$7,1)="2",사정표!$I$50+(사정표!$I$50*기본자료!$E$57/100),IF(LEFT($E$7,1)="3",사정표!$I$50-사정표!$I$48,IF(LEFT($E$7,1)="4",(사정표!$I$50-사정표!$I$48)+(사정표!$I$50*기본자료!$E$57/100),"")))))</f>
        <v>12005</v>
      </c>
      <c r="D8" s="341">
        <f t="shared" ref="D8:D26" si="0">IF(A8="","",B8*C8)</f>
        <v>41897.450000000004</v>
      </c>
      <c r="E8" s="342"/>
      <c r="F8" s="345"/>
    </row>
    <row r="9" spans="1:6" x14ac:dyDescent="0.3">
      <c r="A9" s="340" t="str">
        <f>IF(E7="5","",IF(기본자료!D88="","",기본자료!B88))</f>
        <v>강원지방소나무 산업</v>
      </c>
      <c r="B9" s="351">
        <f>IF(기본자료!D88="","",기본자료!D88)</f>
        <v>0.34</v>
      </c>
      <c r="C9" s="341">
        <f>IF(A9="","",IF(LEFT($E$7,1)="1",사정표!$I$50,IF(LEFT($E$7,1)="2",사정표!$I$50+(사정표!$I$50*기본자료!$E$57/100),IF(LEFT($E$7,1)="3",사정표!$I$50-사정표!$I$48,IF(LEFT($E$7,1)="4",(사정표!$I$50-사정표!$I$48)+(사정표!$I$50*기본자료!$E$57/100),"")))))</f>
        <v>12005</v>
      </c>
      <c r="D9" s="341">
        <f t="shared" si="0"/>
        <v>4081.7000000000003</v>
      </c>
      <c r="E9" s="342"/>
      <c r="F9" s="345"/>
    </row>
    <row r="10" spans="1:6" x14ac:dyDescent="0.3">
      <c r="A10" s="340" t="str">
        <f>IF(E7="5","",IF(기본자료!D89="","",기본자료!B89))</f>
        <v>낙엽송</v>
      </c>
      <c r="B10" s="351">
        <f>IF(기본자료!D89="","",기본자료!D89)</f>
        <v>1.1499999999999999</v>
      </c>
      <c r="C10" s="341">
        <f>IF(A10="","",IF(LEFT($E$7,1)="1",사정표!$I$50,IF(LEFT($E$7,1)="2",사정표!$I$50+(사정표!$I$50*기본자료!$E$57/100),IF(LEFT($E$7,1)="3",사정표!$I$50-사정표!$I$48,IF(LEFT($E$7,1)="4",(사정표!$I$50-사정표!$I$48)+(사정표!$I$50*기본자료!$E$57/100),"")))))</f>
        <v>12005</v>
      </c>
      <c r="D10" s="341">
        <f t="shared" si="0"/>
        <v>13805.749999999998</v>
      </c>
      <c r="E10" s="342"/>
      <c r="F10" s="345"/>
    </row>
    <row r="11" spans="1:6" x14ac:dyDescent="0.3">
      <c r="A11" s="340" t="str">
        <f>IF(E7="5","",IF(기본자료!D90="","",기본자료!B90))</f>
        <v>낙엽송 산업</v>
      </c>
      <c r="B11" s="351">
        <f>IF(기본자료!D90="","",기본자료!D90)</f>
        <v>0.39</v>
      </c>
      <c r="C11" s="341">
        <f>IF(A11="","",IF(LEFT($E$7,1)="1",사정표!$I$50,IF(LEFT($E$7,1)="2",사정표!$I$50+(사정표!$I$50*기본자료!$E$57/100),IF(LEFT($E$7,1)="3",사정표!$I$50-사정표!$I$48,IF(LEFT($E$7,1)="4",(사정표!$I$50-사정표!$I$48)+(사정표!$I$50*기본자료!$E$57/100),"")))))</f>
        <v>12005</v>
      </c>
      <c r="D11" s="341">
        <f t="shared" si="0"/>
        <v>4681.95</v>
      </c>
      <c r="E11" s="342"/>
      <c r="F11" s="345"/>
    </row>
    <row r="12" spans="1:6" x14ac:dyDescent="0.3">
      <c r="A12" s="340" t="str">
        <f>IF(E7="5","",IF(기본자료!D91="","",기본자료!B91))</f>
        <v>기타활엽수 산업</v>
      </c>
      <c r="B12" s="351">
        <f>IF(기본자료!D91="","",기본자료!D91)</f>
        <v>6.64</v>
      </c>
      <c r="C12" s="341">
        <f>IF(A12="","",IF(LEFT($E$7,1)="1",사정표!$I$50,IF(LEFT($E$7,1)="2",사정표!$I$50+(사정표!$I$50*기본자료!$E$57/100),IF(LEFT($E$7,1)="3",사정표!$I$50-사정표!$I$48,IF(LEFT($E$7,1)="4",(사정표!$I$50-사정표!$I$48)+(사정표!$I$50*기본자료!$E$57/100),"")))))</f>
        <v>12005</v>
      </c>
      <c r="D12" s="341">
        <f t="shared" si="0"/>
        <v>79713.2</v>
      </c>
      <c r="E12" s="342"/>
      <c r="F12" s="345"/>
    </row>
    <row r="13" spans="1:6" x14ac:dyDescent="0.3">
      <c r="A13" s="340" t="str">
        <f>IF(E7="5","",IF(기본자료!D92="","",기본자료!B92))</f>
        <v/>
      </c>
      <c r="B13" s="351" t="str">
        <f>IF(기본자료!D92="","",기본자료!D92)</f>
        <v/>
      </c>
      <c r="C13" s="341" t="str">
        <f>IF(A13="","",IF(LEFT($E$7,1)="1",사정표!$I$50,IF(LEFT($E$7,1)="2",사정표!$I$50+(사정표!$I$50*기본자료!$E$57/100),IF(LEFT($E$7,1)="3",사정표!$I$50-사정표!$I$48,IF(LEFT($E$7,1)="4",(사정표!$I$50-사정표!$I$48)+(사정표!$I$50*기본자료!$E$57/100),"")))))</f>
        <v/>
      </c>
      <c r="D13" s="341" t="str">
        <f t="shared" si="0"/>
        <v/>
      </c>
      <c r="E13" s="342"/>
      <c r="F13" s="345"/>
    </row>
    <row r="14" spans="1:6" x14ac:dyDescent="0.3">
      <c r="A14" s="340" t="str">
        <f>IF(E7="5","",IF(기본자료!D93="","",기본자료!B93))</f>
        <v/>
      </c>
      <c r="B14" s="351" t="str">
        <f>IF(기본자료!D93="","",기본자료!D93)</f>
        <v/>
      </c>
      <c r="C14" s="341" t="str">
        <f>IF(A14="","",IF(LEFT($E$7,1)="1",사정표!$I$50,IF(LEFT($E$7,1)="2",사정표!$I$50+(사정표!$I$50*기본자료!$E$57/100),IF(LEFT($E$7,1)="3",사정표!$I$50-사정표!$I$48,IF(LEFT($E$7,1)="4",(사정표!$I$50-사정표!$I$48)+(사정표!$I$50*기본자료!$E$57/100),"")))))</f>
        <v/>
      </c>
      <c r="D14" s="341" t="str">
        <f t="shared" si="0"/>
        <v/>
      </c>
      <c r="E14" s="342"/>
      <c r="F14" s="345"/>
    </row>
    <row r="15" spans="1:6" x14ac:dyDescent="0.3">
      <c r="A15" s="340" t="str">
        <f>IF(E7="5","",IF(기본자료!D94="","",기본자료!B94))</f>
        <v/>
      </c>
      <c r="B15" s="351" t="str">
        <f>IF(기본자료!D94="","",기본자료!D94)</f>
        <v/>
      </c>
      <c r="C15" s="341" t="str">
        <f>IF(A15="","",IF(LEFT($E$7,1)="1",사정표!$I$50,IF(LEFT($E$7,1)="2",사정표!$I$50+(사정표!$I$50*기본자료!$E$57/100),IF(LEFT($E$7,1)="3",사정표!$I$50-사정표!$I$48,IF(LEFT($E$7,1)="4",(사정표!$I$50-사정표!$I$48)+(사정표!$I$50*기본자료!$E$57/100),"")))))</f>
        <v/>
      </c>
      <c r="D15" s="341" t="str">
        <f t="shared" si="0"/>
        <v/>
      </c>
      <c r="E15" s="342"/>
      <c r="F15" s="345"/>
    </row>
    <row r="16" spans="1:6" x14ac:dyDescent="0.3">
      <c r="A16" s="340" t="str">
        <f>IF(E7="5","",IF(기본자료!D95="","",기본자료!B95))</f>
        <v/>
      </c>
      <c r="B16" s="351" t="str">
        <f>IF(기본자료!D95="","",기본자료!D95)</f>
        <v/>
      </c>
      <c r="C16" s="341" t="str">
        <f>IF(A16="","",IF(LEFT($E$7,1)="1",사정표!$I$50,IF(LEFT($E$7,1)="2",사정표!$I$50+(사정표!$I$50*기본자료!$E$57/100),IF(LEFT($E$7,1)="3",사정표!$I$50-사정표!$I$48,IF(LEFT($E$7,1)="4",(사정표!$I$50-사정표!$I$48)+(사정표!$I$50*기본자료!$E$57/100),"")))))</f>
        <v/>
      </c>
      <c r="D16" s="341" t="str">
        <f t="shared" si="0"/>
        <v/>
      </c>
      <c r="E16" s="342"/>
      <c r="F16" s="345"/>
    </row>
    <row r="17" spans="1:6" x14ac:dyDescent="0.3">
      <c r="A17" s="340" t="str">
        <f>IF(E7="5","",IF(기본자료!D96="","",기본자료!B96))</f>
        <v/>
      </c>
      <c r="B17" s="351" t="str">
        <f>IF(기본자료!D96="","",기본자료!D96)</f>
        <v/>
      </c>
      <c r="C17" s="341" t="str">
        <f>IF(A17="","",IF(LEFT($E$7,1)="1",사정표!$I$50,IF(LEFT($E$7,1)="2",사정표!$I$50+(사정표!$I$50*기본자료!$E$57/100),IF(LEFT($E$7,1)="3",사정표!$I$50-사정표!$I$48,IF(LEFT($E$7,1)="4",(사정표!$I$50-사정표!$I$48)+(사정표!$I$50*기본자료!$E$57/100),"")))))</f>
        <v/>
      </c>
      <c r="D17" s="341" t="str">
        <f t="shared" si="0"/>
        <v/>
      </c>
      <c r="E17" s="342"/>
      <c r="F17" s="345"/>
    </row>
    <row r="18" spans="1:6" x14ac:dyDescent="0.3">
      <c r="A18" s="340" t="str">
        <f>IF(E7="5","",IF(기본자료!D97="","",기본자료!B97))</f>
        <v/>
      </c>
      <c r="B18" s="351" t="str">
        <f>IF(기본자료!D97="","",기본자료!D97)</f>
        <v/>
      </c>
      <c r="C18" s="341" t="str">
        <f>IF(A18="","",IF(LEFT($E$7,1)="1",사정표!$I$50,IF(LEFT($E$7,1)="2",사정표!$I$50+(사정표!$I$50*기본자료!$E$57/100),IF(LEFT($E$7,1)="3",사정표!$I$50-사정표!$I$48,IF(LEFT($E$7,1)="4",(사정표!$I$50-사정표!$I$48)+(사정표!$I$50*기본자료!$E$57/100),"")))))</f>
        <v/>
      </c>
      <c r="D18" s="341" t="str">
        <f t="shared" si="0"/>
        <v/>
      </c>
      <c r="E18" s="342"/>
      <c r="F18" s="345"/>
    </row>
    <row r="19" spans="1:6" x14ac:dyDescent="0.3">
      <c r="A19" s="340" t="str">
        <f>IF(E7="5","",IF(기본자료!D98="","",기본자료!B98))</f>
        <v/>
      </c>
      <c r="B19" s="351" t="str">
        <f>IF(기본자료!D98="","",기본자료!D98)</f>
        <v/>
      </c>
      <c r="C19" s="341" t="str">
        <f>IF(A19="","",IF(LEFT($E$7,1)="1",사정표!$I$50,IF(LEFT($E$7,1)="2",사정표!$I$50+(사정표!$I$50*기본자료!$E$57/100),IF(LEFT($E$7,1)="3",사정표!$I$50-사정표!$I$48,IF(LEFT($E$7,1)="4",(사정표!$I$50-사정표!$I$48)+(사정표!$I$50*기본자료!$E$57/100),"")))))</f>
        <v/>
      </c>
      <c r="D19" s="341" t="str">
        <f t="shared" si="0"/>
        <v/>
      </c>
      <c r="E19" s="342"/>
      <c r="F19" s="345"/>
    </row>
    <row r="20" spans="1:6" x14ac:dyDescent="0.3">
      <c r="A20" s="340" t="str">
        <f>IF(E7="5","",IF(기본자료!D99="","",기본자료!B99))</f>
        <v/>
      </c>
      <c r="B20" s="351" t="str">
        <f>IF(기본자료!D99="","",기본자료!D99)</f>
        <v/>
      </c>
      <c r="C20" s="341" t="str">
        <f>IF(A20="","",IF(LEFT($E$7,1)="1",사정표!$I$50,IF(LEFT($E$7,1)="2",사정표!$I$50+(사정표!$I$50*기본자료!$E$57/100),IF(LEFT($E$7,1)="3",사정표!$I$50-사정표!$I$48,IF(LEFT($E$7,1)="4",(사정표!$I$50-사정표!$I$48)+(사정표!$I$50*기본자료!$E$57/100),"")))))</f>
        <v/>
      </c>
      <c r="D20" s="341" t="str">
        <f t="shared" si="0"/>
        <v/>
      </c>
      <c r="E20" s="342"/>
      <c r="F20" s="345"/>
    </row>
    <row r="21" spans="1:6" x14ac:dyDescent="0.3">
      <c r="A21" s="340" t="str">
        <f>IF(E7="5","",IF(기본자료!D100="","",기본자료!B100))</f>
        <v/>
      </c>
      <c r="B21" s="351" t="str">
        <f>IF(기본자료!D100="","",기본자료!D100)</f>
        <v/>
      </c>
      <c r="C21" s="341" t="str">
        <f>IF(A21="","",IF(LEFT($E$7,1)="1",사정표!$I$50,IF(LEFT($E$7,1)="2",사정표!$I$50+(사정표!$I$50*기본자료!$E$57/100),IF(LEFT($E$7,1)="3",사정표!$I$50-사정표!$I$48,IF(LEFT($E$7,1)="4",(사정표!$I$50-사정표!$I$48)+(사정표!$I$50*기본자료!$E$57/100),"")))))</f>
        <v/>
      </c>
      <c r="D21" s="341" t="str">
        <f t="shared" si="0"/>
        <v/>
      </c>
      <c r="E21" s="342"/>
      <c r="F21" s="345"/>
    </row>
    <row r="22" spans="1:6" x14ac:dyDescent="0.3">
      <c r="A22" s="340" t="str">
        <f>IF(E7="5","",IF(기본자료!D101="","",기본자료!B101))</f>
        <v/>
      </c>
      <c r="B22" s="351" t="str">
        <f>IF(기본자료!D101="","",기본자료!D101)</f>
        <v/>
      </c>
      <c r="C22" s="341" t="str">
        <f>IF(A22="","",IF(LEFT($E$7,1)="1",사정표!$I$50,IF(LEFT($E$7,1)="2",사정표!$I$50+(사정표!$I$50*기본자료!$E$57/100),IF(LEFT($E$7,1)="3",사정표!$I$50-사정표!$I$48,IF(LEFT($E$7,1)="4",(사정표!$I$50-사정표!$I$48)+(사정표!$I$50*기본자료!$E$57/100),"")))))</f>
        <v/>
      </c>
      <c r="D22" s="341" t="str">
        <f t="shared" si="0"/>
        <v/>
      </c>
      <c r="E22" s="342"/>
      <c r="F22" s="345"/>
    </row>
    <row r="23" spans="1:6" x14ac:dyDescent="0.3">
      <c r="A23" s="340" t="str">
        <f>IF(E7="5","",IF(기본자료!D102="","",기본자료!B102))</f>
        <v/>
      </c>
      <c r="B23" s="351" t="str">
        <f>IF(기본자료!D102="","",기본자료!D102)</f>
        <v/>
      </c>
      <c r="C23" s="341" t="str">
        <f>IF(A23="","",IF(LEFT($E$7,1)="1",사정표!$I$50,IF(LEFT($E$7,1)="2",사정표!$I$50+(사정표!$I$50*기본자료!$E$57/100),IF(LEFT($E$7,1)="3",사정표!$I$50-사정표!$I$48,IF(LEFT($E$7,1)="4",(사정표!$I$50-사정표!$I$48)+(사정표!$I$50*기본자료!$E$57/100),"")))))</f>
        <v/>
      </c>
      <c r="D23" s="341" t="str">
        <f t="shared" si="0"/>
        <v/>
      </c>
      <c r="E23" s="342"/>
      <c r="F23" s="345"/>
    </row>
    <row r="24" spans="1:6" x14ac:dyDescent="0.3">
      <c r="A24" s="340" t="str">
        <f>IF(E7="5","",IF(기본자료!D103="","",기본자료!B103))</f>
        <v/>
      </c>
      <c r="B24" s="351" t="str">
        <f>IF(기본자료!D103="","",기본자료!D103)</f>
        <v/>
      </c>
      <c r="C24" s="341" t="str">
        <f>IF(A24="","",IF(LEFT($E$7,1)="1",사정표!$I$50,IF(LEFT($E$7,1)="2",사정표!$I$50+(사정표!$I$50*기본자료!$E$57/100),IF(LEFT($E$7,1)="3",사정표!$I$50-사정표!$I$48,IF(LEFT($E$7,1)="4",(사정표!$I$50-사정표!$I$48)+(사정표!$I$50*기본자료!$E$57/100),"")))))</f>
        <v/>
      </c>
      <c r="D24" s="341" t="str">
        <f t="shared" si="0"/>
        <v/>
      </c>
      <c r="E24" s="342"/>
      <c r="F24" s="345"/>
    </row>
    <row r="25" spans="1:6" x14ac:dyDescent="0.3">
      <c r="A25" s="340" t="str">
        <f>IF(E7="5","",IF(기본자료!D104="","",기본자료!B104))</f>
        <v/>
      </c>
      <c r="B25" s="351" t="str">
        <f>IF(기본자료!D104="","",기본자료!D104)</f>
        <v/>
      </c>
      <c r="C25" s="341" t="str">
        <f>IF(A25="","",IF(LEFT($E$7,1)="1",사정표!$I$50,IF(LEFT($E$7,1)="2",사정표!$I$50+(사정표!$I$50*기본자료!$E$57/100),IF(LEFT($E$7,1)="3",사정표!$I$50-사정표!$I$48,IF(LEFT($E$7,1)="4",(사정표!$I$50-사정표!$I$48)+(사정표!$I$50*기본자료!$E$57/100),"")))))</f>
        <v/>
      </c>
      <c r="D25" s="341" t="str">
        <f t="shared" si="0"/>
        <v/>
      </c>
      <c r="E25" s="342"/>
      <c r="F25" s="345"/>
    </row>
    <row r="26" spans="1:6" x14ac:dyDescent="0.3">
      <c r="A26" s="417" t="str">
        <f>IF(기본자료!D105="","",기본자료!B105)</f>
        <v/>
      </c>
      <c r="B26" s="508" t="str">
        <f>IF(기본자료!D105="","",기본자료!D105)</f>
        <v/>
      </c>
      <c r="C26" s="348" t="str">
        <f>IF(A26="","",IF(LEFT($E$7,1)="1",사정표!$I$50,IF(LEFT($E$7,1)="2",사정표!$I$50+(사정표!$I$50*기본자료!$E$57/100),IF(LEFT($E$7,1)="3",사정표!$I$50-사정표!$I$49,IF(LEFT($E$7,1)="4",(사정표!$I$50-사정표!$I$49)+(사정표!$I$50*기본자료!$E$57/100),"")))))</f>
        <v/>
      </c>
      <c r="D26" s="348" t="str">
        <f t="shared" si="0"/>
        <v/>
      </c>
      <c r="E26" s="349"/>
      <c r="F26" s="345"/>
    </row>
    <row r="27" spans="1:6" x14ac:dyDescent="0.3">
      <c r="A27" s="256"/>
      <c r="B27" s="256"/>
      <c r="C27" s="256"/>
      <c r="D27" s="256"/>
      <c r="E27" s="256"/>
      <c r="F27" s="256"/>
    </row>
  </sheetData>
  <mergeCells count="5">
    <mergeCell ref="A1:E1"/>
    <mergeCell ref="A5:A6"/>
    <mergeCell ref="B5:B6"/>
    <mergeCell ref="D5:D6"/>
    <mergeCell ref="E5:E6"/>
  </mergeCells>
  <phoneticPr fontId="3" type="noConversion"/>
  <pageMargins left="0.7" right="0.7" top="0.75" bottom="0.75" header="0.3" footer="0.3"/>
  <pageSetup paperSize="9" scale="92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1">
    <pageSetUpPr fitToPage="1"/>
  </sheetPr>
  <dimension ref="A1:L28"/>
  <sheetViews>
    <sheetView workbookViewId="0">
      <selection activeCell="I1" sqref="I1:L1048576"/>
    </sheetView>
  </sheetViews>
  <sheetFormatPr defaultRowHeight="16.5" x14ac:dyDescent="0.3"/>
  <cols>
    <col min="1" max="1" width="13.75" customWidth="1"/>
    <col min="2" max="2" width="12.25" customWidth="1"/>
    <col min="4" max="4" width="10.375" customWidth="1"/>
    <col min="5" max="5" width="10.875" bestFit="1" customWidth="1"/>
    <col min="6" max="6" width="12.375" customWidth="1"/>
    <col min="9" max="12" width="0" hidden="1" customWidth="1"/>
  </cols>
  <sheetData>
    <row r="1" spans="1:12" ht="25.5" x14ac:dyDescent="0.3">
      <c r="A1" s="707" t="s">
        <v>238</v>
      </c>
      <c r="B1" s="708"/>
      <c r="C1" s="708"/>
      <c r="D1" s="708"/>
      <c r="E1" s="708"/>
      <c r="F1" s="708"/>
      <c r="G1" s="708"/>
      <c r="H1" s="709"/>
      <c r="I1" s="256"/>
      <c r="J1" s="256"/>
      <c r="K1" s="256"/>
      <c r="L1" s="256"/>
    </row>
    <row r="2" spans="1:12" x14ac:dyDescent="0.3">
      <c r="A2" s="352"/>
      <c r="B2" s="274"/>
      <c r="C2" s="274"/>
      <c r="D2" s="274"/>
      <c r="E2" s="274"/>
      <c r="F2" s="274"/>
      <c r="G2" s="274"/>
      <c r="H2" s="276"/>
      <c r="I2" s="256"/>
      <c r="J2" s="256"/>
      <c r="K2" s="256"/>
      <c r="L2" s="256"/>
    </row>
    <row r="3" spans="1:12" x14ac:dyDescent="0.3">
      <c r="A3" s="353" t="s">
        <v>239</v>
      </c>
      <c r="B3" s="354" t="str">
        <f>수종별재적표!D3</f>
        <v>강릉 54임반 4(라)소반 외 1 개소</v>
      </c>
      <c r="C3" s="274"/>
      <c r="D3" s="274"/>
      <c r="E3" s="274"/>
      <c r="F3" s="274"/>
      <c r="G3" s="274"/>
      <c r="H3" s="276"/>
      <c r="I3" s="256"/>
      <c r="J3" s="256"/>
      <c r="K3" s="256"/>
      <c r="L3" s="256"/>
    </row>
    <row r="4" spans="1:12" x14ac:dyDescent="0.3">
      <c r="A4" s="355"/>
      <c r="B4" s="782"/>
      <c r="C4" s="782"/>
      <c r="D4" s="782"/>
      <c r="E4" s="782"/>
      <c r="F4" s="782"/>
      <c r="G4" s="782"/>
      <c r="H4" s="783"/>
      <c r="I4" s="256"/>
      <c r="J4" s="256"/>
      <c r="K4" s="256"/>
      <c r="L4" s="256"/>
    </row>
    <row r="5" spans="1:12" x14ac:dyDescent="0.3">
      <c r="A5" s="784" t="s">
        <v>240</v>
      </c>
      <c r="B5" s="787" t="s">
        <v>241</v>
      </c>
      <c r="C5" s="788"/>
      <c r="D5" s="788"/>
      <c r="E5" s="788"/>
      <c r="F5" s="789"/>
      <c r="G5" s="356" t="s">
        <v>240</v>
      </c>
      <c r="H5" s="790" t="s">
        <v>230</v>
      </c>
      <c r="I5" s="256"/>
      <c r="J5" s="256"/>
      <c r="K5" s="256"/>
      <c r="L5" s="256"/>
    </row>
    <row r="6" spans="1:12" x14ac:dyDescent="0.3">
      <c r="A6" s="785"/>
      <c r="B6" s="793" t="s">
        <v>138</v>
      </c>
      <c r="C6" s="793" t="s">
        <v>242</v>
      </c>
      <c r="D6" s="793" t="s">
        <v>243</v>
      </c>
      <c r="E6" s="793" t="s">
        <v>244</v>
      </c>
      <c r="F6" s="793" t="s">
        <v>245</v>
      </c>
      <c r="G6" s="357" t="s">
        <v>246</v>
      </c>
      <c r="H6" s="791"/>
      <c r="I6" s="256"/>
      <c r="J6" s="256"/>
      <c r="K6" s="256"/>
      <c r="L6" s="256"/>
    </row>
    <row r="7" spans="1:12" x14ac:dyDescent="0.3">
      <c r="A7" s="786"/>
      <c r="B7" s="794"/>
      <c r="C7" s="794"/>
      <c r="D7" s="794"/>
      <c r="E7" s="794"/>
      <c r="F7" s="794"/>
      <c r="G7" s="358" t="s">
        <v>247</v>
      </c>
      <c r="H7" s="792"/>
      <c r="I7" s="256" t="s">
        <v>248</v>
      </c>
      <c r="J7" s="256" t="s">
        <v>249</v>
      </c>
      <c r="K7" s="256" t="s">
        <v>250</v>
      </c>
      <c r="L7" s="256" t="s">
        <v>246</v>
      </c>
    </row>
    <row r="8" spans="1:12" x14ac:dyDescent="0.3">
      <c r="A8" s="336" t="s">
        <v>152</v>
      </c>
      <c r="B8" s="358"/>
      <c r="C8" s="358"/>
      <c r="D8" s="358"/>
      <c r="E8" s="359">
        <f>IF(SUM(E9:E28)=0,"",SUM(E9:E28))</f>
        <v>2311.41</v>
      </c>
      <c r="F8" s="360">
        <f>IF(SUM(F9:F28)=0,"",ROUND(SUM(F9:F28),0))</f>
        <v>67816713</v>
      </c>
      <c r="G8" s="358"/>
      <c r="H8" s="361"/>
      <c r="I8" s="256"/>
      <c r="J8" s="256"/>
      <c r="K8" s="256"/>
      <c r="L8" s="256"/>
    </row>
    <row r="9" spans="1:12" x14ac:dyDescent="0.3">
      <c r="A9" s="362" t="str">
        <f t="shared" ref="A9:A28" si="0">IF(B8=B9,"",B9)</f>
        <v>강원지방소나무</v>
      </c>
      <c r="B9" s="363" t="str">
        <f>IF(사정표!A7="","",사정표!A7)</f>
        <v>강원지방소나무</v>
      </c>
      <c r="C9" s="363" t="str">
        <f>IF(사정표!F7="","",사정표!F7)</f>
        <v>포천시</v>
      </c>
      <c r="D9" s="364">
        <f>IF(사정표!N7="","",사정표!N7)</f>
        <v>196989</v>
      </c>
      <c r="E9" s="503">
        <f>IF(B9="","",VLOOKUP(B9&amp;C9,평균시가!$M$11:$N$141,2,FALSE))</f>
        <v>77.739000000000004</v>
      </c>
      <c r="F9" s="365">
        <f t="shared" ref="F9:F28" si="1">IF(B9="","",ROUND(D9*E9,0))</f>
        <v>15313728</v>
      </c>
      <c r="G9" s="366">
        <f t="shared" ref="G9:G28" ca="1" si="2">IF(ISNUMBER(I9),ROUND(L9,0),"")</f>
        <v>138617</v>
      </c>
      <c r="H9" s="367"/>
      <c r="I9" s="256">
        <f t="shared" ref="I9:I28" si="3">IF(A9="","",COUNTIF($B$9:$B$28,B9))</f>
        <v>3</v>
      </c>
      <c r="J9" s="368">
        <f t="shared" ref="J9:J28" ca="1" si="4">IF(ISNUMBER(F9),SUM(OFFSET(E9, , ,I9,1)),"")</f>
        <v>297.06400000000002</v>
      </c>
      <c r="K9" s="368">
        <f t="shared" ref="K9:K28" ca="1" si="5">IF(ISNUMBER(F9),SUM(OFFSET(F9, , ,I9,1)),"")</f>
        <v>41178135</v>
      </c>
      <c r="L9" s="256">
        <f t="shared" ref="L9:L28" ca="1" si="6">IF(I9=1,D9,K9/J9)</f>
        <v>138617.04885142593</v>
      </c>
    </row>
    <row r="10" spans="1:12" x14ac:dyDescent="0.3">
      <c r="A10" s="362" t="str">
        <f t="shared" si="0"/>
        <v/>
      </c>
      <c r="B10" s="363" t="str">
        <f>IF(사정표!A8="","",사정표!A8)</f>
        <v>강원지방소나무</v>
      </c>
      <c r="C10" s="363" t="str">
        <f>IF(사정표!F8="","",사정표!F8)</f>
        <v>순천시</v>
      </c>
      <c r="D10" s="364">
        <f>IF(사정표!N8="","",사정표!N8)</f>
        <v>147059</v>
      </c>
      <c r="E10" s="503">
        <f>IF(B10="","",VLOOKUP(B10&amp;C10,평균시가!$M$11:$N$141,2,FALSE))</f>
        <v>14.395</v>
      </c>
      <c r="F10" s="365">
        <f t="shared" si="1"/>
        <v>2116914</v>
      </c>
      <c r="G10" s="366" t="str">
        <f t="shared" si="2"/>
        <v/>
      </c>
      <c r="H10" s="367"/>
      <c r="I10" s="256" t="str">
        <f t="shared" si="3"/>
        <v/>
      </c>
      <c r="J10" s="368" t="e">
        <f t="shared" ca="1" si="4"/>
        <v>#VALUE!</v>
      </c>
      <c r="K10" s="368" t="e">
        <f t="shared" ca="1" si="5"/>
        <v>#VALUE!</v>
      </c>
      <c r="L10" s="256" t="e">
        <f t="shared" ca="1" si="6"/>
        <v>#VALUE!</v>
      </c>
    </row>
    <row r="11" spans="1:12" x14ac:dyDescent="0.3">
      <c r="A11" s="362" t="str">
        <f t="shared" si="0"/>
        <v/>
      </c>
      <c r="B11" s="363" t="str">
        <f>IF(사정표!A9="","",사정표!A9)</f>
        <v>강원지방소나무</v>
      </c>
      <c r="C11" s="363" t="str">
        <f>IF(사정표!F9="","",사정표!F9)</f>
        <v>영주시</v>
      </c>
      <c r="D11" s="364">
        <f>IF(사정표!N9="","",사정표!N9)</f>
        <v>115881</v>
      </c>
      <c r="E11" s="503">
        <f>IF(B11="","",VLOOKUP(B11&amp;C11,평균시가!$M$11:$N$141,2,FALSE))</f>
        <v>204.93</v>
      </c>
      <c r="F11" s="365">
        <f t="shared" si="1"/>
        <v>23747493</v>
      </c>
      <c r="G11" s="366" t="str">
        <f t="shared" si="2"/>
        <v/>
      </c>
      <c r="H11" s="367"/>
      <c r="I11" s="256" t="str">
        <f t="shared" si="3"/>
        <v/>
      </c>
      <c r="J11" s="368" t="e">
        <f t="shared" ca="1" si="4"/>
        <v>#VALUE!</v>
      </c>
      <c r="K11" s="368" t="e">
        <f t="shared" ca="1" si="5"/>
        <v>#VALUE!</v>
      </c>
      <c r="L11" s="256" t="e">
        <f t="shared" ca="1" si="6"/>
        <v>#VALUE!</v>
      </c>
    </row>
    <row r="12" spans="1:12" x14ac:dyDescent="0.3">
      <c r="A12" s="362" t="str">
        <f t="shared" si="0"/>
        <v>강원지방소나무 산업</v>
      </c>
      <c r="B12" s="363" t="str">
        <f>IF(사정표!A10="","",사정표!A10)</f>
        <v>강원지방소나무 산업</v>
      </c>
      <c r="C12" s="363" t="str">
        <f>IF(사정표!F10="","",사정표!F10)</f>
        <v>강릉시</v>
      </c>
      <c r="D12" s="364">
        <f>IF(사정표!N10="","",사정표!N10)</f>
        <v>8816</v>
      </c>
      <c r="E12" s="503">
        <f>IF(B12="","",VLOOKUP(B12&amp;C12,평균시가!$M$11:$N$141,2,FALSE))</f>
        <v>28.986000000000001</v>
      </c>
      <c r="F12" s="365">
        <f t="shared" si="1"/>
        <v>255541</v>
      </c>
      <c r="G12" s="366">
        <f t="shared" si="2"/>
        <v>8816</v>
      </c>
      <c r="H12" s="367"/>
      <c r="I12" s="256">
        <f t="shared" si="3"/>
        <v>1</v>
      </c>
      <c r="J12" s="368">
        <f t="shared" ca="1" si="4"/>
        <v>28.986000000000001</v>
      </c>
      <c r="K12" s="368">
        <f t="shared" ca="1" si="5"/>
        <v>255541</v>
      </c>
      <c r="L12" s="256">
        <f t="shared" si="6"/>
        <v>8816</v>
      </c>
    </row>
    <row r="13" spans="1:12" x14ac:dyDescent="0.3">
      <c r="A13" s="362" t="str">
        <f t="shared" si="0"/>
        <v>낙엽송</v>
      </c>
      <c r="B13" s="363" t="str">
        <f>IF(사정표!A11="","",사정표!A11)</f>
        <v>낙엽송</v>
      </c>
      <c r="C13" s="363" t="str">
        <f>IF(사정표!F11="","",사정표!F11)</f>
        <v>삼척시</v>
      </c>
      <c r="D13" s="364">
        <f>IF(사정표!N11="","",사정표!N11)</f>
        <v>102931</v>
      </c>
      <c r="E13" s="503">
        <f>IF(B13="","",VLOOKUP(B13&amp;C13,평균시가!$M$11:$N$141,2,FALSE))</f>
        <v>51.597000000000001</v>
      </c>
      <c r="F13" s="365">
        <f t="shared" si="1"/>
        <v>5310931</v>
      </c>
      <c r="G13" s="366">
        <f t="shared" si="2"/>
        <v>102931</v>
      </c>
      <c r="H13" s="367"/>
      <c r="I13" s="256">
        <f t="shared" si="3"/>
        <v>1</v>
      </c>
      <c r="J13" s="368">
        <f t="shared" ca="1" si="4"/>
        <v>51.597000000000001</v>
      </c>
      <c r="K13" s="368">
        <f t="shared" ca="1" si="5"/>
        <v>5310931</v>
      </c>
      <c r="L13" s="256">
        <f t="shared" si="6"/>
        <v>102931</v>
      </c>
    </row>
    <row r="14" spans="1:12" x14ac:dyDescent="0.3">
      <c r="A14" s="362" t="str">
        <f t="shared" si="0"/>
        <v>낙엽송 산업</v>
      </c>
      <c r="B14" s="363" t="str">
        <f>IF(사정표!A12="","",사정표!A12)</f>
        <v>낙엽송 산업</v>
      </c>
      <c r="C14" s="363" t="str">
        <f>IF(사정표!F12="","",사정표!F12)</f>
        <v>강릉시</v>
      </c>
      <c r="D14" s="364">
        <f>IF(사정표!N12="","",사정표!N12)</f>
        <v>9358</v>
      </c>
      <c r="E14" s="503">
        <f>IF(B14="","",VLOOKUP(B14&amp;C14,평균시가!$M$11:$N$141,2,FALSE))</f>
        <v>17.503</v>
      </c>
      <c r="F14" s="365">
        <f t="shared" si="1"/>
        <v>163793</v>
      </c>
      <c r="G14" s="366">
        <f t="shared" si="2"/>
        <v>9358</v>
      </c>
      <c r="H14" s="367"/>
      <c r="I14" s="256">
        <f t="shared" si="3"/>
        <v>1</v>
      </c>
      <c r="J14" s="368">
        <f t="shared" ca="1" si="4"/>
        <v>17.503</v>
      </c>
      <c r="K14" s="368">
        <f t="shared" ca="1" si="5"/>
        <v>163793</v>
      </c>
      <c r="L14" s="256">
        <f t="shared" si="6"/>
        <v>9358</v>
      </c>
    </row>
    <row r="15" spans="1:12" x14ac:dyDescent="0.3">
      <c r="A15" s="362" t="str">
        <f t="shared" si="0"/>
        <v>기타활엽수 산업</v>
      </c>
      <c r="B15" s="363" t="str">
        <f>IF(사정표!A13="","",사정표!A13)</f>
        <v>기타활엽수 산업</v>
      </c>
      <c r="C15" s="363" t="str">
        <f>IF(사정표!F13="","",사정표!F13)</f>
        <v>강릉시</v>
      </c>
      <c r="D15" s="364">
        <f>IF(사정표!N13="","",사정표!N13)</f>
        <v>10911</v>
      </c>
      <c r="E15" s="503">
        <f>IF(B15="","",VLOOKUP(B15&amp;C15,평균시가!$M$11:$N$141,2,FALSE))</f>
        <v>1916.26</v>
      </c>
      <c r="F15" s="365">
        <f t="shared" si="1"/>
        <v>20908313</v>
      </c>
      <c r="G15" s="366">
        <f t="shared" si="2"/>
        <v>10911</v>
      </c>
      <c r="H15" s="367"/>
      <c r="I15" s="256">
        <f t="shared" si="3"/>
        <v>1</v>
      </c>
      <c r="J15" s="368">
        <f t="shared" ca="1" si="4"/>
        <v>1916.26</v>
      </c>
      <c r="K15" s="368">
        <f t="shared" ca="1" si="5"/>
        <v>20908313</v>
      </c>
      <c r="L15" s="256">
        <f t="shared" si="6"/>
        <v>10911</v>
      </c>
    </row>
    <row r="16" spans="1:12" x14ac:dyDescent="0.3">
      <c r="A16" s="362" t="str">
        <f t="shared" si="0"/>
        <v/>
      </c>
      <c r="B16" s="363" t="str">
        <f>IF(사정표!A14="","",사정표!A14)</f>
        <v/>
      </c>
      <c r="C16" s="363" t="str">
        <f>IF(사정표!F14="","",사정표!F14)</f>
        <v/>
      </c>
      <c r="D16" s="364" t="str">
        <f>IF(사정표!N14="","",사정표!N14)</f>
        <v/>
      </c>
      <c r="E16" s="503" t="str">
        <f>IF(B16="","",VLOOKUP(B16&amp;C16,평균시가!$M$11:$N$141,2,FALSE))</f>
        <v/>
      </c>
      <c r="F16" s="365" t="str">
        <f t="shared" si="1"/>
        <v/>
      </c>
      <c r="G16" s="366" t="str">
        <f t="shared" si="2"/>
        <v/>
      </c>
      <c r="H16" s="367"/>
      <c r="I16" s="256" t="str">
        <f t="shared" si="3"/>
        <v/>
      </c>
      <c r="J16" s="368" t="str">
        <f t="shared" ca="1" si="4"/>
        <v/>
      </c>
      <c r="K16" s="368" t="str">
        <f t="shared" ca="1" si="5"/>
        <v/>
      </c>
      <c r="L16" s="256" t="e">
        <f t="shared" ca="1" si="6"/>
        <v>#VALUE!</v>
      </c>
    </row>
    <row r="17" spans="1:12" x14ac:dyDescent="0.3">
      <c r="A17" s="362" t="str">
        <f t="shared" si="0"/>
        <v/>
      </c>
      <c r="B17" s="363" t="str">
        <f>IF(사정표!A15="","",사정표!A15)</f>
        <v/>
      </c>
      <c r="C17" s="363" t="str">
        <f>IF(사정표!F15="","",사정표!F15)</f>
        <v/>
      </c>
      <c r="D17" s="364" t="str">
        <f>IF(사정표!N15="","",사정표!N15)</f>
        <v/>
      </c>
      <c r="E17" s="503" t="str">
        <f>IF(B17="","",VLOOKUP(B17&amp;C17,평균시가!$M$11:$N$141,2,FALSE))</f>
        <v/>
      </c>
      <c r="F17" s="365" t="str">
        <f t="shared" si="1"/>
        <v/>
      </c>
      <c r="G17" s="366" t="str">
        <f t="shared" si="2"/>
        <v/>
      </c>
      <c r="H17" s="369"/>
      <c r="I17" s="256" t="str">
        <f t="shared" si="3"/>
        <v/>
      </c>
      <c r="J17" s="368" t="str">
        <f t="shared" ca="1" si="4"/>
        <v/>
      </c>
      <c r="K17" s="368" t="str">
        <f t="shared" ca="1" si="5"/>
        <v/>
      </c>
      <c r="L17" s="256" t="e">
        <f t="shared" ca="1" si="6"/>
        <v>#VALUE!</v>
      </c>
    </row>
    <row r="18" spans="1:12" x14ac:dyDescent="0.3">
      <c r="A18" s="362" t="str">
        <f t="shared" si="0"/>
        <v/>
      </c>
      <c r="B18" s="363" t="str">
        <f>IF(사정표!A16="","",사정표!A16)</f>
        <v/>
      </c>
      <c r="C18" s="363" t="str">
        <f>IF(사정표!F16="","",사정표!F16)</f>
        <v/>
      </c>
      <c r="D18" s="364" t="str">
        <f>IF(사정표!N16="","",사정표!N16)</f>
        <v/>
      </c>
      <c r="E18" s="503" t="str">
        <f>IF(B18="","",VLOOKUP(B18&amp;C18,평균시가!$M$11:$N$141,2,FALSE))</f>
        <v/>
      </c>
      <c r="F18" s="365" t="str">
        <f t="shared" si="1"/>
        <v/>
      </c>
      <c r="G18" s="366" t="str">
        <f t="shared" si="2"/>
        <v/>
      </c>
      <c r="H18" s="367"/>
      <c r="I18" s="256" t="str">
        <f t="shared" si="3"/>
        <v/>
      </c>
      <c r="J18" s="368" t="str">
        <f t="shared" ca="1" si="4"/>
        <v/>
      </c>
      <c r="K18" s="368" t="str">
        <f t="shared" ca="1" si="5"/>
        <v/>
      </c>
      <c r="L18" s="256" t="e">
        <f t="shared" ca="1" si="6"/>
        <v>#VALUE!</v>
      </c>
    </row>
    <row r="19" spans="1:12" x14ac:dyDescent="0.3">
      <c r="A19" s="362" t="str">
        <f t="shared" si="0"/>
        <v/>
      </c>
      <c r="B19" s="363" t="str">
        <f>IF(사정표!A17="","",사정표!A17)</f>
        <v/>
      </c>
      <c r="C19" s="363" t="str">
        <f>IF(사정표!F17="","",사정표!F17)</f>
        <v/>
      </c>
      <c r="D19" s="364" t="str">
        <f>IF(사정표!N17="","",사정표!N17)</f>
        <v/>
      </c>
      <c r="E19" s="503" t="str">
        <f>IF(B19="","",VLOOKUP(B19&amp;C19,평균시가!$M$11:$N$141,2,FALSE))</f>
        <v/>
      </c>
      <c r="F19" s="365" t="str">
        <f t="shared" si="1"/>
        <v/>
      </c>
      <c r="G19" s="366" t="str">
        <f t="shared" si="2"/>
        <v/>
      </c>
      <c r="H19" s="367"/>
      <c r="I19" s="256" t="str">
        <f t="shared" si="3"/>
        <v/>
      </c>
      <c r="J19" s="368" t="str">
        <f t="shared" ca="1" si="4"/>
        <v/>
      </c>
      <c r="K19" s="368" t="str">
        <f t="shared" ca="1" si="5"/>
        <v/>
      </c>
      <c r="L19" s="256" t="e">
        <f t="shared" ca="1" si="6"/>
        <v>#VALUE!</v>
      </c>
    </row>
    <row r="20" spans="1:12" x14ac:dyDescent="0.3">
      <c r="A20" s="362" t="str">
        <f t="shared" si="0"/>
        <v/>
      </c>
      <c r="B20" s="363" t="str">
        <f>IF(사정표!A18="","",사정표!A18)</f>
        <v/>
      </c>
      <c r="C20" s="363" t="str">
        <f>IF(사정표!F18="","",사정표!F18)</f>
        <v/>
      </c>
      <c r="D20" s="364" t="str">
        <f>IF(사정표!N18="","",사정표!N18)</f>
        <v/>
      </c>
      <c r="E20" s="503" t="str">
        <f>IF(B20="","",VLOOKUP(B20&amp;C20,평균시가!$M$11:$N$141,2,FALSE))</f>
        <v/>
      </c>
      <c r="F20" s="365" t="str">
        <f t="shared" si="1"/>
        <v/>
      </c>
      <c r="G20" s="366" t="str">
        <f t="shared" si="2"/>
        <v/>
      </c>
      <c r="H20" s="367"/>
      <c r="I20" s="256" t="str">
        <f t="shared" si="3"/>
        <v/>
      </c>
      <c r="J20" s="368" t="str">
        <f t="shared" ca="1" si="4"/>
        <v/>
      </c>
      <c r="K20" s="368" t="str">
        <f t="shared" ca="1" si="5"/>
        <v/>
      </c>
      <c r="L20" s="256" t="e">
        <f t="shared" ca="1" si="6"/>
        <v>#VALUE!</v>
      </c>
    </row>
    <row r="21" spans="1:12" x14ac:dyDescent="0.3">
      <c r="A21" s="362" t="str">
        <f t="shared" si="0"/>
        <v/>
      </c>
      <c r="B21" s="363" t="str">
        <f>IF(사정표!A19="","",사정표!A19)</f>
        <v/>
      </c>
      <c r="C21" s="363" t="str">
        <f>IF(사정표!F19="","",사정표!F19)</f>
        <v/>
      </c>
      <c r="D21" s="364" t="str">
        <f>IF(사정표!N19="","",사정표!N19)</f>
        <v/>
      </c>
      <c r="E21" s="503" t="str">
        <f>IF(B21="","",VLOOKUP(B21&amp;C21,평균시가!$M$11:$N$141,2,FALSE))</f>
        <v/>
      </c>
      <c r="F21" s="365" t="str">
        <f t="shared" si="1"/>
        <v/>
      </c>
      <c r="G21" s="366" t="str">
        <f t="shared" si="2"/>
        <v/>
      </c>
      <c r="H21" s="367"/>
      <c r="I21" s="256" t="str">
        <f t="shared" si="3"/>
        <v/>
      </c>
      <c r="J21" s="368" t="str">
        <f t="shared" ca="1" si="4"/>
        <v/>
      </c>
      <c r="K21" s="368" t="str">
        <f t="shared" ca="1" si="5"/>
        <v/>
      </c>
      <c r="L21" s="256" t="e">
        <f t="shared" ca="1" si="6"/>
        <v>#VALUE!</v>
      </c>
    </row>
    <row r="22" spans="1:12" x14ac:dyDescent="0.3">
      <c r="A22" s="362" t="str">
        <f t="shared" si="0"/>
        <v/>
      </c>
      <c r="B22" s="363" t="str">
        <f>IF(사정표!A20="","",사정표!A20)</f>
        <v/>
      </c>
      <c r="C22" s="363" t="str">
        <f>IF(사정표!F20="","",사정표!F20)</f>
        <v/>
      </c>
      <c r="D22" s="364" t="str">
        <f>IF(사정표!N20="","",사정표!N20)</f>
        <v/>
      </c>
      <c r="E22" s="503" t="str">
        <f>IF(B22="","",VLOOKUP(B22&amp;C22,평균시가!$M$11:$N$141,2,FALSE))</f>
        <v/>
      </c>
      <c r="F22" s="365" t="str">
        <f t="shared" si="1"/>
        <v/>
      </c>
      <c r="G22" s="366" t="str">
        <f t="shared" si="2"/>
        <v/>
      </c>
      <c r="H22" s="367"/>
      <c r="I22" s="256" t="str">
        <f t="shared" si="3"/>
        <v/>
      </c>
      <c r="J22" s="368" t="str">
        <f t="shared" ca="1" si="4"/>
        <v/>
      </c>
      <c r="K22" s="368" t="str">
        <f t="shared" ca="1" si="5"/>
        <v/>
      </c>
      <c r="L22" s="256" t="e">
        <f t="shared" ca="1" si="6"/>
        <v>#VALUE!</v>
      </c>
    </row>
    <row r="23" spans="1:12" x14ac:dyDescent="0.3">
      <c r="A23" s="362" t="str">
        <f t="shared" si="0"/>
        <v/>
      </c>
      <c r="B23" s="363" t="str">
        <f>IF(사정표!A21="","",사정표!A21)</f>
        <v/>
      </c>
      <c r="C23" s="363" t="str">
        <f>IF(사정표!F21="","",사정표!F21)</f>
        <v/>
      </c>
      <c r="D23" s="364" t="str">
        <f>IF(사정표!N21="","",사정표!N21)</f>
        <v/>
      </c>
      <c r="E23" s="503" t="str">
        <f>IF(B23="","",VLOOKUP(B23&amp;C23,평균시가!$M$11:$N$141,2,FALSE))</f>
        <v/>
      </c>
      <c r="F23" s="365" t="str">
        <f t="shared" si="1"/>
        <v/>
      </c>
      <c r="G23" s="366" t="str">
        <f t="shared" si="2"/>
        <v/>
      </c>
      <c r="H23" s="367"/>
      <c r="I23" s="256" t="str">
        <f t="shared" si="3"/>
        <v/>
      </c>
      <c r="J23" s="368" t="str">
        <f t="shared" ca="1" si="4"/>
        <v/>
      </c>
      <c r="K23" s="368" t="str">
        <f t="shared" ca="1" si="5"/>
        <v/>
      </c>
      <c r="L23" s="256" t="e">
        <f t="shared" ca="1" si="6"/>
        <v>#VALUE!</v>
      </c>
    </row>
    <row r="24" spans="1:12" x14ac:dyDescent="0.3">
      <c r="A24" s="362" t="str">
        <f t="shared" si="0"/>
        <v/>
      </c>
      <c r="B24" s="363" t="str">
        <f>IF(사정표!A22="","",사정표!A22)</f>
        <v/>
      </c>
      <c r="C24" s="363" t="str">
        <f>IF(사정표!F22="","",사정표!F22)</f>
        <v/>
      </c>
      <c r="D24" s="364" t="str">
        <f>IF(사정표!N22="","",사정표!N22)</f>
        <v/>
      </c>
      <c r="E24" s="503" t="str">
        <f>IF(B24="","",VLOOKUP(B24&amp;C24,평균시가!$M$11:$N$141,2,FALSE))</f>
        <v/>
      </c>
      <c r="F24" s="365" t="str">
        <f t="shared" si="1"/>
        <v/>
      </c>
      <c r="G24" s="366" t="str">
        <f t="shared" si="2"/>
        <v/>
      </c>
      <c r="H24" s="367"/>
      <c r="I24" s="256" t="str">
        <f t="shared" si="3"/>
        <v/>
      </c>
      <c r="J24" s="368" t="str">
        <f t="shared" ca="1" si="4"/>
        <v/>
      </c>
      <c r="K24" s="368" t="str">
        <f t="shared" ca="1" si="5"/>
        <v/>
      </c>
      <c r="L24" s="256" t="e">
        <f t="shared" ca="1" si="6"/>
        <v>#VALUE!</v>
      </c>
    </row>
    <row r="25" spans="1:12" x14ac:dyDescent="0.3">
      <c r="A25" s="362" t="str">
        <f t="shared" si="0"/>
        <v/>
      </c>
      <c r="B25" s="363" t="str">
        <f>IF(사정표!A23="","",사정표!A23)</f>
        <v/>
      </c>
      <c r="C25" s="363" t="str">
        <f>IF(사정표!F23="","",사정표!F23)</f>
        <v/>
      </c>
      <c r="D25" s="364" t="str">
        <f>IF(사정표!N23="","",사정표!N23)</f>
        <v/>
      </c>
      <c r="E25" s="503" t="str">
        <f>IF(B25="","",VLOOKUP(B25&amp;C25,평균시가!$M$11:$N$141,2,FALSE))</f>
        <v/>
      </c>
      <c r="F25" s="365" t="str">
        <f t="shared" si="1"/>
        <v/>
      </c>
      <c r="G25" s="366" t="str">
        <f t="shared" si="2"/>
        <v/>
      </c>
      <c r="H25" s="367"/>
      <c r="I25" s="256" t="str">
        <f t="shared" si="3"/>
        <v/>
      </c>
      <c r="J25" s="368" t="str">
        <f t="shared" ca="1" si="4"/>
        <v/>
      </c>
      <c r="K25" s="368" t="str">
        <f t="shared" ca="1" si="5"/>
        <v/>
      </c>
      <c r="L25" s="256" t="e">
        <f t="shared" ca="1" si="6"/>
        <v>#VALUE!</v>
      </c>
    </row>
    <row r="26" spans="1:12" x14ac:dyDescent="0.3">
      <c r="A26" s="362" t="str">
        <f t="shared" si="0"/>
        <v/>
      </c>
      <c r="B26" s="363" t="str">
        <f>IF(사정표!A24="","",사정표!A24)</f>
        <v/>
      </c>
      <c r="C26" s="363" t="str">
        <f>IF(사정표!F24="","",사정표!F24)</f>
        <v/>
      </c>
      <c r="D26" s="364" t="str">
        <f>IF(사정표!N24="","",사정표!N24)</f>
        <v/>
      </c>
      <c r="E26" s="503" t="str">
        <f>IF(B26="","",VLOOKUP(B26&amp;C26,평균시가!$M$11:$N$141,2,FALSE))</f>
        <v/>
      </c>
      <c r="F26" s="365" t="str">
        <f t="shared" si="1"/>
        <v/>
      </c>
      <c r="G26" s="366" t="str">
        <f t="shared" si="2"/>
        <v/>
      </c>
      <c r="H26" s="367"/>
      <c r="I26" s="256" t="str">
        <f t="shared" si="3"/>
        <v/>
      </c>
      <c r="J26" s="368" t="str">
        <f t="shared" ca="1" si="4"/>
        <v/>
      </c>
      <c r="K26" s="368" t="str">
        <f t="shared" ca="1" si="5"/>
        <v/>
      </c>
      <c r="L26" s="256" t="e">
        <f t="shared" ca="1" si="6"/>
        <v>#VALUE!</v>
      </c>
    </row>
    <row r="27" spans="1:12" x14ac:dyDescent="0.3">
      <c r="A27" s="362" t="str">
        <f t="shared" si="0"/>
        <v/>
      </c>
      <c r="B27" s="363" t="str">
        <f>IF(사정표!A25="","",사정표!A25)</f>
        <v/>
      </c>
      <c r="C27" s="363" t="str">
        <f>IF(사정표!F25="","",사정표!F25)</f>
        <v/>
      </c>
      <c r="D27" s="364" t="str">
        <f>IF(사정표!N25="","",사정표!N25)</f>
        <v/>
      </c>
      <c r="E27" s="503" t="str">
        <f>IF(B27="","",VLOOKUP(B27&amp;C27,평균시가!$M$11:$N$141,2,FALSE))</f>
        <v/>
      </c>
      <c r="F27" s="365" t="str">
        <f t="shared" si="1"/>
        <v/>
      </c>
      <c r="G27" s="366" t="str">
        <f t="shared" si="2"/>
        <v/>
      </c>
      <c r="H27" s="367"/>
      <c r="I27" s="256" t="str">
        <f t="shared" si="3"/>
        <v/>
      </c>
      <c r="J27" s="368" t="str">
        <f t="shared" ca="1" si="4"/>
        <v/>
      </c>
      <c r="K27" s="368" t="str">
        <f t="shared" ca="1" si="5"/>
        <v/>
      </c>
      <c r="L27" s="370" t="e">
        <f t="shared" ca="1" si="6"/>
        <v>#VALUE!</v>
      </c>
    </row>
    <row r="28" spans="1:12" x14ac:dyDescent="0.3">
      <c r="A28" s="371" t="str">
        <f t="shared" si="0"/>
        <v/>
      </c>
      <c r="B28" s="372" t="str">
        <f>IF(사정표!A26="","",사정표!A26)</f>
        <v/>
      </c>
      <c r="C28" s="372" t="str">
        <f>IF(사정표!F26="","",사정표!F26)</f>
        <v/>
      </c>
      <c r="D28" s="373" t="str">
        <f>IF(사정표!N26="","",사정표!N26)</f>
        <v/>
      </c>
      <c r="E28" s="504" t="str">
        <f>IF(B28="","",VLOOKUP(B28&amp;C28,평균시가!$M$11:$N$141,2,FALSE))</f>
        <v/>
      </c>
      <c r="F28" s="374" t="str">
        <f t="shared" si="1"/>
        <v/>
      </c>
      <c r="G28" s="375" t="str">
        <f t="shared" si="2"/>
        <v/>
      </c>
      <c r="H28" s="376"/>
      <c r="I28" s="256" t="str">
        <f t="shared" si="3"/>
        <v/>
      </c>
      <c r="J28" s="368" t="str">
        <f t="shared" ca="1" si="4"/>
        <v/>
      </c>
      <c r="K28" s="368" t="str">
        <f t="shared" ca="1" si="5"/>
        <v/>
      </c>
      <c r="L28" s="256" t="e">
        <f t="shared" ca="1" si="6"/>
        <v>#VALUE!</v>
      </c>
    </row>
  </sheetData>
  <mergeCells count="10">
    <mergeCell ref="A1:H1"/>
    <mergeCell ref="B4:H4"/>
    <mergeCell ref="A5:A7"/>
    <mergeCell ref="B5:F5"/>
    <mergeCell ref="H5:H7"/>
    <mergeCell ref="B6:B7"/>
    <mergeCell ref="C6:C7"/>
    <mergeCell ref="D6:D7"/>
    <mergeCell ref="E6:E7"/>
    <mergeCell ref="F6:F7"/>
  </mergeCells>
  <phoneticPr fontId="3" type="noConversion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 지정된 범위</vt:lpstr>
      </vt:variant>
      <vt:variant>
        <vt:i4>11</vt:i4>
      </vt:variant>
    </vt:vector>
  </HeadingPairs>
  <TitlesOfParts>
    <vt:vector size="21" baseType="lpstr">
      <vt:lpstr>수종별재적표</vt:lpstr>
      <vt:lpstr>시가</vt:lpstr>
      <vt:lpstr>기본자료</vt:lpstr>
      <vt:lpstr>운반비산출</vt:lpstr>
      <vt:lpstr>적용시장산출</vt:lpstr>
      <vt:lpstr>평균시가</vt:lpstr>
      <vt:lpstr>사정표</vt:lpstr>
      <vt:lpstr>공시목</vt:lpstr>
      <vt:lpstr>평균단가</vt:lpstr>
      <vt:lpstr>집재공정</vt:lpstr>
      <vt:lpstr>공시목!Print_Area</vt:lpstr>
      <vt:lpstr>기본자료!Print_Area</vt:lpstr>
      <vt:lpstr>사정표!Print_Area</vt:lpstr>
      <vt:lpstr>수종별재적표!Print_Area</vt:lpstr>
      <vt:lpstr>시가!Print_Area</vt:lpstr>
      <vt:lpstr>운반비산출!Print_Area</vt:lpstr>
      <vt:lpstr>적용시장산출!Print_Area</vt:lpstr>
      <vt:lpstr>평균단가!Print_Area</vt:lpstr>
      <vt:lpstr>집재표2</vt:lpstr>
      <vt:lpstr>집재표3</vt:lpstr>
      <vt:lpstr>집재표4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yhm</dc:creator>
  <cp:lastModifiedBy>Owner</cp:lastModifiedBy>
  <cp:lastPrinted>2013-12-18T08:11:58Z</cp:lastPrinted>
  <dcterms:created xsi:type="dcterms:W3CDTF">2013-10-16T04:58:20Z</dcterms:created>
  <dcterms:modified xsi:type="dcterms:W3CDTF">2021-06-09T04:39:26Z</dcterms:modified>
</cp:coreProperties>
</file>